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worksheets/sheet9.xml" ContentType="application/vnd.openxmlformats-officedocument.spreadsheetml.worksheet+xml"/>
  <Override PartName="/xl/drawings/drawing8.xml" ContentType="application/vnd.openxmlformats-officedocument.drawing+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worksheets/sheet10.xml" ContentType="application/vnd.openxmlformats-officedocument.spreadsheetml.worksheet+xml"/>
  <Override PartName="/xl/drawings/drawing9.xml" ContentType="application/vnd.openxmlformats-officedocument.drawing+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worksheets/sheet11.xml" ContentType="application/vnd.openxmlformats-officedocument.spreadsheetml.worksheet+xml"/>
  <Override PartName="/xl/drawings/drawing10.xml" ContentType="application/vnd.openxmlformats-officedocument.drawing+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worksheets/sheet12.xml" ContentType="application/vnd.openxmlformats-officedocument.spreadsheetml.worksheet+xml"/>
  <Override PartName="/xl/drawings/drawing11.xml" ContentType="application/vnd.openxmlformats-officedocument.drawing+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worksheets/sheet13.xml" ContentType="application/vnd.openxmlformats-officedocument.spreadsheetml.worksheet+xml"/>
  <Override PartName="/xl/drawings/drawing12.xml" ContentType="application/vnd.openxmlformats-officedocument.drawing+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worksheets/sheet14.xml" ContentType="application/vnd.openxmlformats-officedocument.spreadsheetml.worksheet+xml"/>
  <Override PartName="/xl/drawings/drawing13.xml" ContentType="application/vnd.openxmlformats-officedocument.drawing+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worksheets/sheet15.xml" ContentType="application/vnd.openxmlformats-officedocument.spreadsheetml.worksheet+xml"/>
  <Override PartName="/xl/drawings/drawing14.xml" ContentType="application/vnd.openxmlformats-officedocument.drawing+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worksheets/sheet16.xml" ContentType="application/vnd.openxmlformats-officedocument.spreadsheetml.worksheet+xml"/>
  <Override PartName="/xl/drawings/drawing15.xml" ContentType="application/vnd.openxmlformats-officedocument.drawing+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worksheets/sheet17.xml" ContentType="application/vnd.openxmlformats-officedocument.spreadsheetml.worksheet+xml"/>
  <Override PartName="/xl/drawings/drawing16.xml" ContentType="application/vnd.openxmlformats-officedocument.drawing+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worksheets/sheet18.xml" ContentType="application/vnd.openxmlformats-officedocument.spreadsheetml.worksheet+xml"/>
  <Override PartName="/xl/drawings/drawing17.xml" ContentType="application/vnd.openxmlformats-officedocument.drawing+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worksheets/sheet19.xml" ContentType="application/vnd.openxmlformats-officedocument.spreadsheetml.worksheet+xml"/>
  <Override PartName="/xl/drawings/drawing18.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lian\AppData\Local\Temp\claude\D--JUNIO-FINANZAS-CON-SHIR\98caa760-c0d8-48b6-a37b-aeccd61c2a1b\scratchpad\fixed\2recalc\"/>
    </mc:Choice>
  </mc:AlternateContent>
  <xr:revisionPtr revIDLastSave="0" documentId="8_{1A08F2B8-7D89-4DE4-ACEF-C103908C1584}" xr6:coauthVersionLast="47" xr6:coauthVersionMax="47" xr10:uidLastSave="{00000000-0000-0000-0000-000000000000}"/>
  <bookViews>
    <workbookView xWindow="-120" yWindow="-120" windowWidth="29040" windowHeight="15840" xr2:uid="{00000000-000D-0000-FFFF-FFFF00000000}"/>
  </bookViews>
  <sheets>
    <sheet name="🚀 Empezar" sheetId="1" r:id="rId1"/>
    <sheet name="⚙️ Configuración" sheetId="3" r:id="rId2"/>
    <sheet name="💳 Cuentas" sheetId="6" r:id="rId3"/>
    <sheet name="🔁 Pagos Fijos" sheetId="7" r:id="rId4"/>
    <sheet name="📺 Suscripciones" sheetId="8" r:id="rId5"/>
    <sheet name="📆 Calendario" sheetId="9" r:id="rId6"/>
    <sheet name="Octubre" sheetId="10" r:id="rId7"/>
    <sheet name="Noviembre" sheetId="101" r:id="rId101"/>
    <sheet name="Diciembre" sheetId="102" r:id="rId102"/>
    <sheet name="Enero" sheetId="103" r:id="rId103"/>
    <sheet name="Febrero" sheetId="104" r:id="rId104"/>
    <sheet name="Marzo" sheetId="105" r:id="rId105"/>
    <sheet name="Abril" sheetId="106" r:id="rId106"/>
    <sheet name="Mayo" sheetId="107" r:id="rId107"/>
    <sheet name="Junio" sheetId="108" r:id="rId108"/>
    <sheet name="Julio" sheetId="109" r:id="rId109"/>
    <sheet name="Agosto" sheetId="110" r:id="rId110"/>
    <sheet name="Septiembre" sheetId="111" r:id="rId111"/>
    <sheet name="💳 Deudas" sheetId="27" r:id="rId8"/>
  </sheets>
  <calcPr calcId="181029" fullCalcOnLoad="1"/>
  <extLst>
    <ext uri="GoogleSheetsCustomDataVersion2">
      <go:sheetsCustomData xmlns:go="http://customooxmlschemas.google.com/" r:id="rId33" roundtripDataChecksum="YcJxr/T6fAHTBnVG9B6N+oTK3/WuADIADMzaPEfFgX4="/>
    </ext>
  </extLst>
</workbook>
</file>

<file path=xl/sharedStrings.xml><?xml version="1.0" encoding="utf-8"?>
<sst xmlns="http://schemas.openxmlformats.org/spreadsheetml/2006/main" count="350" uniqueCount="278">
  <si>
    <t>✨  Te damos la bienvenida a tu Planilla</t>
  </si>
  <si>
    <t>En Finanzas con Shir te ayudamos a tomar control de tu plata.</t>
  </si>
  <si>
    <t>IMPORTANTE: Lee las instrucciones antes de empezar.</t>
  </si>
  <si>
    <t>Esta planilla está diseñada y optimizada para Google Sheets y Excel.</t>
  </si>
  <si>
    <t>LEE LAS INSTRUCCIONES</t>
  </si>
  <si>
    <t>📌</t>
  </si>
  <si>
    <t>INSTRUCCIONES DE CÓMO USAR ESTA PLANILLA</t>
  </si>
  <si>
    <t>Leé las instrucciones de abajo (te toma 2 minutos).</t>
  </si>
  <si>
    <t>Hacé click en el botón '→ EMPEZAR A USAR LA PLANILLA →' al final de esta hoja.</t>
  </si>
  <si>
    <t>⚠️</t>
  </si>
  <si>
    <t>IMPORTANTE: SOLO EDITAR las celdas en BLANCO o las casillas de opciones.</t>
  </si>
  <si>
    <t>👤</t>
  </si>
  <si>
    <t>Evitá alterar otros campos. Eliminar o añadir celdas puede afectar los cálculos.</t>
  </si>
  <si>
    <t>📊</t>
  </si>
  <si>
    <t>🚨</t>
  </si>
  <si>
    <t>No elimines alertas; están diseñadas para identificar problemas.</t>
  </si>
  <si>
    <t>Empezá acá:</t>
  </si>
  <si>
    <t>1.  CONFIGURACIÓN</t>
  </si>
  <si>
    <t xml:space="preserve">       →  Completá tu nombre, año, moneda y categorías.</t>
  </si>
  <si>
    <t>→   EMPEZAR A USAR LA PLANILLA   →</t>
  </si>
  <si>
    <t>📺</t>
  </si>
  <si>
    <t>Suscripciones</t>
  </si>
  <si>
    <t>🎯</t>
  </si>
  <si>
    <t>💎</t>
  </si>
  <si>
    <t>Tu mapa de salida: qué debés, cuotas, cuántas faltan</t>
  </si>
  <si>
    <t>📈</t>
  </si>
  <si>
    <t>⚙️ Configuración</t>
  </si>
  <si>
    <t>📌 QUÉ HACER ACÁ (1 sola vez, ~5 min)
1. TUS DATOS: escribí tu nombre, año y mes de inicio.
2. MONEDA: elegí tu código (USD, ARS, EUR, etc): el símbolo se actualiza solo.
3. METAS: definí ingreso esperado, ahorro mensual y la regla 50/30/20.
4. CATEGORÍAS: revisá / editá los nombres si querés.
🎯 Objetivo: dejar la planilla con TUS datos personales.
➜ Próximo tab: Presupuesto Guía</t>
  </si>
  <si>
    <t>Datos base: completá una sola vez</t>
  </si>
  <si>
    <t xml:space="preserve">  👤  TUS DATOS</t>
  </si>
  <si>
    <t xml:space="preserve">  🏷️  CATEGORÍAS POR SECTORES</t>
  </si>
  <si>
    <t>Tu nombre</t>
  </si>
  <si>
    <t>Editá los nombres si querés. Los íconos quedan a la izquierda.</t>
  </si>
  <si>
    <t>Año del presupuesto</t>
  </si>
  <si>
    <t xml:space="preserve">   🏠    ESENCIALES</t>
  </si>
  <si>
    <t>Mes de inicio</t>
  </si>
  <si>
    <t>Octubre</t>
  </si>
  <si>
    <t>🏠</t>
  </si>
  <si>
    <t>Hogar (alquiler, expensas)</t>
  </si>
  <si>
    <t>🍽️</t>
  </si>
  <si>
    <t>Alimentación / Mercado</t>
  </si>
  <si>
    <t xml:space="preserve">  💱  MONEDA</t>
  </si>
  <si>
    <t>💡</t>
  </si>
  <si>
    <t>Servicios (luz, gas, agua)</t>
  </si>
  <si>
    <t>Código de Moneda</t>
  </si>
  <si>
    <t>ARS</t>
  </si>
  <si>
    <t>📶</t>
  </si>
  <si>
    <t>Internet y Celular</t>
  </si>
  <si>
    <t>Símbolo (auto)</t>
  </si>
  <si>
    <t>🚗</t>
  </si>
  <si>
    <t>Transporte / Combustible</t>
  </si>
  <si>
    <t>💡  Cambiando el código de arriba se actualiza el símbolo en toda la planilla.</t>
  </si>
  <si>
    <t>🏥</t>
  </si>
  <si>
    <t>Salud / Prepaga / Farmacia</t>
  </si>
  <si>
    <t>📚</t>
  </si>
  <si>
    <t>Educación</t>
  </si>
  <si>
    <t xml:space="preserve">  🎯  METAS Y EXPECTATIVAS</t>
  </si>
  <si>
    <t>🛡️</t>
  </si>
  <si>
    <t>Seguros</t>
  </si>
  <si>
    <t>Ingreso esperado mensual</t>
  </si>
  <si>
    <t>Promedio que esperás ganar por mes</t>
  </si>
  <si>
    <t>💼</t>
  </si>
  <si>
    <t>Impuestos</t>
  </si>
  <si>
    <t>Meta de ahorro mensual</t>
  </si>
  <si>
    <t>Cuánto querés ahorrar cada mes</t>
  </si>
  <si>
    <t>🐾</t>
  </si>
  <si>
    <t>Mascotas</t>
  </si>
  <si>
    <t>% Ideal Esenciales</t>
  </si>
  <si>
    <t>Regla 50/30/20: necesidades</t>
  </si>
  <si>
    <t>% Ideal No Esenciales</t>
  </si>
  <si>
    <t>Regla 50/30/20: deseos</t>
  </si>
  <si>
    <t xml:space="preserve">   🛍️    NO ESENCIALES</t>
  </si>
  <si>
    <t>% Ideal Ahorro</t>
  </si>
  <si>
    <t>Regla 50/30/20: futuro</t>
  </si>
  <si>
    <t>🍕</t>
  </si>
  <si>
    <t>Salidas / Restaurantes</t>
  </si>
  <si>
    <t>Verificación: ¿suman 100%?</t>
  </si>
  <si>
    <t>🎬</t>
  </si>
  <si>
    <t>Ocio / Entretenimiento</t>
  </si>
  <si>
    <t>⚠️  Si no muestra verde, ajustá los % hasta que sumen 100%</t>
  </si>
  <si>
    <t>💄</t>
  </si>
  <si>
    <t>Cuidado personal / Belleza</t>
  </si>
  <si>
    <t>💛  Cuanto más fiel sea tu lista de categorías a tu vida real, más útil va a ser tu planilla.</t>
  </si>
  <si>
    <t>👗</t>
  </si>
  <si>
    <t>Ropa y Calzado</t>
  </si>
  <si>
    <t>✈️</t>
  </si>
  <si>
    <t>Viajes / Vacaciones</t>
  </si>
  <si>
    <t xml:space="preserve">  🔄  CONVERSOR DE MONEDA  (opcional)</t>
  </si>
  <si>
    <t>🎁</t>
  </si>
  <si>
    <t>Regalos / Eventos</t>
  </si>
  <si>
    <t>🏋️</t>
  </si>
  <si>
    <t>Deporte / Gym</t>
  </si>
  <si>
    <t>Moneda secundaria</t>
  </si>
  <si>
    <t>USD</t>
  </si>
  <si>
    <t>🛍️</t>
  </si>
  <si>
    <t>Compras varias</t>
  </si>
  <si>
    <t>Símbolo secundario (auto)</t>
  </si>
  <si>
    <t xml:space="preserve">   💰     AHORRO</t>
  </si>
  <si>
    <t>⚡  Calculadora rápida: convertí cualquier monto:</t>
  </si>
  <si>
    <t>Fondo de emergencia</t>
  </si>
  <si>
    <t>Monto a convertir (en moneda principal)</t>
  </si>
  <si>
    <t>Metas (viaje, casa, auto)</t>
  </si>
  <si>
    <t>→ equivalente en moneda secundaria</t>
  </si>
  <si>
    <t>Inversiones / Plazo fijo</t>
  </si>
  <si>
    <t>⚠️  IMPORTANTE: Para migrar TODA la planilla de una moneda a otra, usá el truco de Excel: seleccioná los valores → "Pegado especial" → "Multiplicar/Dividir" por la tasa. La moneda principal de arriba solo cambia el símbolo.</t>
  </si>
  <si>
    <t>Otros ahorros</t>
  </si>
  <si>
    <t xml:space="preserve">   💵    INGRESOS</t>
  </si>
  <si>
    <t>Sueldo / Salario</t>
  </si>
  <si>
    <t>💻</t>
  </si>
  <si>
    <t>Freelance / Honorarios</t>
  </si>
  <si>
    <t>🏪</t>
  </si>
  <si>
    <t>Negocio propio</t>
  </si>
  <si>
    <t>Regalos / Bonos</t>
  </si>
  <si>
    <t>Rendimientos / Intereses</t>
  </si>
  <si>
    <t>💰</t>
  </si>
  <si>
    <t>Otros ingresos</t>
  </si>
  <si>
    <t>Tabla de Monedas (no editar)</t>
  </si>
  <si>
    <t>Código</t>
  </si>
  <si>
    <t>Nombre</t>
  </si>
  <si>
    <t>Símbolo</t>
  </si>
  <si>
    <t>Peso Argentino</t>
  </si>
  <si>
    <t>$</t>
  </si>
  <si>
    <t>Dólar Estadounidense</t>
  </si>
  <si>
    <t>US$</t>
  </si>
  <si>
    <t>MXN</t>
  </si>
  <si>
    <t>Peso Mexicano</t>
  </si>
  <si>
    <t>MX$</t>
  </si>
  <si>
    <t>COP</t>
  </si>
  <si>
    <t>Peso Colombiano</t>
  </si>
  <si>
    <t>COL$</t>
  </si>
  <si>
    <t>CLP</t>
  </si>
  <si>
    <t>Peso Chileno</t>
  </si>
  <si>
    <t>CLP$</t>
  </si>
  <si>
    <t>PEN</t>
  </si>
  <si>
    <t>Sol Peruano</t>
  </si>
  <si>
    <t>S/</t>
  </si>
  <si>
    <t>UYU</t>
  </si>
  <si>
    <t>Peso Uruguayo</t>
  </si>
  <si>
    <t>$U</t>
  </si>
  <si>
    <t>BRL</t>
  </si>
  <si>
    <t>Real Brasilero</t>
  </si>
  <si>
    <t>R$</t>
  </si>
  <si>
    <t>EUR</t>
  </si>
  <si>
    <t>Euro</t>
  </si>
  <si>
    <t>€</t>
  </si>
  <si>
    <t>☐</t>
  </si>
  <si>
    <t>Categoría</t>
  </si>
  <si>
    <t>Servicios</t>
  </si>
  <si>
    <t>Salud</t>
  </si>
  <si>
    <t>TOTAL</t>
  </si>
  <si>
    <t>Ingresos</t>
  </si>
  <si>
    <t>Total</t>
  </si>
  <si>
    <t>Esenciales</t>
  </si>
  <si>
    <t>No Esenciales</t>
  </si>
  <si>
    <t>Concepto</t>
  </si>
  <si>
    <t>Estado</t>
  </si>
  <si>
    <t>💳 Mis Cuentas</t>
  </si>
  <si>
    <t>📌 DÓNDE ESTÁ TU PLATA
1. Editá los NOMBRES de cuentas (Galicia, BBVA, etc) en las celdas en blanco.
2. Actualizá el SALDO actual de cada una.
3. Si tenés menos de 6 cuentas, dejá las que sobran en 0.
🎯 Objetivo: saber exactamente cuánta plata tenés y dónde.
➜ Próximo tab: Pagos Fijos</t>
  </si>
  <si>
    <t>Donde está tu plata: bancos, billeteras, efectivo, dólares</t>
  </si>
  <si>
    <t>🏦  Banco Principal</t>
  </si>
  <si>
    <t>Saldo Disponible</t>
  </si>
  <si>
    <t>🏦  Banco Secundario</t>
  </si>
  <si>
    <t>💵  Efectivo</t>
  </si>
  <si>
    <t>Galicia</t>
  </si>
  <si>
    <t>BBVA</t>
  </si>
  <si>
    <t>Billetera</t>
  </si>
  <si>
    <t>📱  Mercado Pago</t>
  </si>
  <si>
    <t>💼  Otra cuenta</t>
  </si>
  <si>
    <t>MP</t>
  </si>
  <si>
    <t>Dólares</t>
  </si>
  <si>
    <t>💰  TOTAL EN TODAS TUS CUENTAS</t>
  </si>
  <si>
    <t>↓  Datos para referencia (no editar)</t>
  </si>
  <si>
    <t>🏦 Banco Principal</t>
  </si>
  <si>
    <t>🏦 Banco Secundario</t>
  </si>
  <si>
    <t>💵 Efectivo</t>
  </si>
  <si>
    <t>📱 Mercado Pago</t>
  </si>
  <si>
    <t>💼 Otra cuenta</t>
  </si>
  <si>
    <t>🔁 Pagos Fijos</t>
  </si>
  <si>
    <t>📌 LO QUE PAGÁS TODOS LOS MESES
1. Cargá cada pago recurrente: alquiler, expensas, luz, internet, gym, etc.
2. Elegí FRECUENCIA (mensual, bimestral, trimestral, anual).
3. Asigná DÍA del mes y CUENTA de pago.
4. El COSTO ANUAL se calcula solo.
🎯 Objetivo: tener visibilidad de tus gastos fijos del año.
➜ Próximo tab: Suscripciones</t>
  </si>
  <si>
    <t>Lo que pagás todos los meses sin falta</t>
  </si>
  <si>
    <t xml:space="preserve">  🔁  PAGOS RECURRENTES Y PROGRAMADOS</t>
  </si>
  <si>
    <t>#</t>
  </si>
  <si>
    <t>Descripción</t>
  </si>
  <si>
    <t>Frecuencia</t>
  </si>
  <si>
    <t>Día</t>
  </si>
  <si>
    <t>Monto</t>
  </si>
  <si>
    <t>Costo Anual</t>
  </si>
  <si>
    <t>Cuenta de pago</t>
  </si>
  <si>
    <t>Deporte</t>
  </si>
  <si>
    <t>Mensual</t>
  </si>
  <si>
    <t>Hogar</t>
  </si>
  <si>
    <t>Trimestral</t>
  </si>
  <si>
    <t>Promedio mensual</t>
  </si>
  <si>
    <t>Tabla frecuencias (no editar)</t>
  </si>
  <si>
    <t>Bimestral</t>
  </si>
  <si>
    <t>Cuatrimestral</t>
  </si>
  <si>
    <t>Semestral</t>
  </si>
  <si>
    <t>Anual</t>
  </si>
  <si>
    <t>Único</t>
  </si>
  <si>
    <t>📺 Auditoría de Suscripciones</t>
  </si>
  <si>
    <t>📌 AUDITORÍA DE SUSCRIPCIONES
1. Listá cada suscripción (Netflix, Spotify, etc) con su costo mensual.
2. Calificá USO (1-5) y VALOR (1-5) que te aporta.
3. La RECOMENDACIÓN se calcula sola: Mantener / Revisar / Cancelar.
🎯 Objetivo: detectar subs que no usás y cuánto te ahorrarías cancelando.
➜ Próximo tab: Calendario</t>
  </si>
  <si>
    <t>Detectá qué subs no usás y cuánto te ahorrarías</t>
  </si>
  <si>
    <t xml:space="preserve">  📺  TUS SUSCRIPCIONES</t>
  </si>
  <si>
    <t>Costo Mensual</t>
  </si>
  <si>
    <t>Uso (1-5)</t>
  </si>
  <si>
    <t>Valor (1-5)</t>
  </si>
  <si>
    <t>Score (1-10)</t>
  </si>
  <si>
    <t>Recomendación automática</t>
  </si>
  <si>
    <t xml:space="preserve">  💡  AHORRO POTENCIAL: Si cancelás las que no valen la pena</t>
  </si>
  <si>
    <t>🔴 Subs a cancelar (Score &lt; 5)</t>
  </si>
  <si>
    <t>🟠 Subs a considerar (Score 5-7)</t>
  </si>
  <si>
    <t>💚 Subs que justifican (Score ≥ 8)</t>
  </si>
  <si>
    <t>📆 Calendario de Pagos</t>
  </si>
  <si>
    <t>Cuenta</t>
  </si>
  <si>
    <t>TOTAL DEL MES (mensual + parte proporcional de no mensuales)</t>
  </si>
  <si>
    <t>📅  ENERO</t>
  </si>
  <si>
    <t>Finanzas con Shir</t>
  </si>
  <si>
    <t>ENERO</t>
  </si>
  <si>
    <t>Presupuestado</t>
  </si>
  <si>
    <t>Real</t>
  </si>
  <si>
    <t>L</t>
  </si>
  <si>
    <t>M</t>
  </si>
  <si>
    <t>J</t>
  </si>
  <si>
    <t>V</t>
  </si>
  <si>
    <t>S</t>
  </si>
  <si>
    <t>D</t>
  </si>
  <si>
    <t>💵 INGRESOS</t>
  </si>
  <si>
    <t>🏠+🛍️ GASTOS</t>
  </si>
  <si>
    <t>⚖️ BALANCE</t>
  </si>
  <si>
    <t xml:space="preserve">  💡  BLANCO = vos escribís  |  CREMA = resultado automático  |  Dif. positiva = vas bien</t>
  </si>
  <si>
    <t xml:space="preserve">  💵  INGRESOS DEL MES</t>
  </si>
  <si>
    <t>Dif. (+ = bien)</t>
  </si>
  <si>
    <t>% ejecución</t>
  </si>
  <si>
    <t xml:space="preserve">  🏠  GASTOS ESENCIALES</t>
  </si>
  <si>
    <t xml:space="preserve">  🛍️  GASTOS NO ESENCIALES</t>
  </si>
  <si>
    <t xml:space="preserve">  💰  AHORRO E INVERSIÓN</t>
  </si>
  <si>
    <t xml:space="preserve">  ⚖️  BALANCE DEL MES: Tu resumen</t>
  </si>
  <si>
    <t>💵 Total Ingresos (Real)</t>
  </si>
  <si>
    <t>🎁  Lista de deseos del mes</t>
  </si>
  <si>
    <t>✓</t>
  </si>
  <si>
    <t>Item / Descripción</t>
  </si>
  <si>
    <t>Comprado</t>
  </si>
  <si>
    <t>TOTAL DESEOS DEL MES</t>
  </si>
  <si>
    <t>Notas</t>
  </si>
  <si>
    <t>💳 Mis Deudas</t>
  </si>
  <si>
    <t>📌 TU MAPA DE SALIDA DE LAS DEUDAS
1. Cargá cada deuda: tarjeta, préstamo personal, cuotas, etc.
2. Completá TOTAL ORIGINAL, PENDIENTE, CUOTA MENSUAL y CUOTAS PAGAS.
3. La planilla calcula cuánto falta y te da insights.
🎯 Objetivo: ver el camino real para salir de deudas.
➜ Próximo tab: Patrimonio</t>
  </si>
  <si>
    <t xml:space="preserve">  💳  TUS DEUDAS Y CUOTAS</t>
  </si>
  <si>
    <t>Total Original</t>
  </si>
  <si>
    <t>Pendiente</t>
  </si>
  <si>
    <t>Cuota Mensual</t>
  </si>
  <si>
    <t>Cuotas Pagas</t>
  </si>
  <si>
    <t>Cuotas Restantes</t>
  </si>
  <si>
    <t>% Tasa</t>
  </si>
  <si>
    <t xml:space="preserve">  💡  INSIGHTS DE TU SITUACIÓN</t>
  </si>
  <si>
    <t>Tu cuota mensual total</t>
  </si>
  <si>
    <t>Si pagás solo cuota mínima sin nuevo crédito, vas a salir en (meses)</t>
  </si>
  <si>
    <t>Cuota más alta vs Cuota más baja</t>
  </si>
  <si>
    <t>💛  Estrategia Bola de Nieve: pagá primero la deuda con menor monto pendiente. Te libera flujo y motiva. Después atacá la siguiente.</t>
  </si>
  <si>
    <t>✉  ¿DUDAS? ESCRIBINOS</t>
  </si>
  <si>
    <t>Te lleva a ⚙️ Configuración, el primer paso.</t>
  </si>
  <si>
    <t>Seguí los 5 pasos de abajo, en ese orden.</t>
  </si>
  <si>
    <t>El Calendario no tiene celdas para llenar: se arma solo desde Pagos Fijos.</t>
  </si>
  <si>
    <t>2.  CUENTAS</t>
  </si>
  <si>
    <t xml:space="preserve">       →  Cargá cuánto tenés hoy en cada cuenta.</t>
  </si>
  <si>
    <t>3.  PAGOS FIJOS Y SUSCRIPCIONES</t>
  </si>
  <si>
    <t xml:space="preserve">       →  Lo que pagás todos los meses, y tus suscripciones con su puntaje.</t>
  </si>
  <si>
    <t>4.  LOS 12 MESES</t>
  </si>
  <si>
    <t xml:space="preserve">       →  De Octubre 2026 a Septiembre 2027: ingresos y gastos reales, mes por mes.</t>
  </si>
  <si>
    <t>5.  DEUDAS</t>
  </si>
  <si>
    <t xml:space="preserve">       →  Cada deuda con su cuota y su mes de salida.</t>
  </si>
  <si>
    <t>💡  Si tenés una cuenta en otra moneda (ej. dólares), completá la moneda y la tasa: el total de 💳 Cuentas la pasa sola a tu moneda principal.</t>
  </si>
  <si>
    <t>Tasa: 1 de la secundaria = ? de tu moneda</t>
  </si>
  <si>
    <t>TOTAL ANUAL DE PAGOS FIJOS ACTIVOS</t>
  </si>
  <si>
    <t>Promedio mensual (sólo activos)</t>
  </si>
  <si>
    <t>📌 TUS PAGOS FIJOS, DÍA POR DÍA
⚠️ Acá NO se rellena nada. Se arma solo desde Pagos Fijos.
• Te muestra qué pagos vienen y cuándo.
• Totales por día: promedio mensual de los pagos activos.
🎯 Objetivo: que no se te escape ningún pago.
➜ Próximo tab: Octubre</t>
  </si>
  <si>
    <t>Tus pagos fijos, día por día</t>
  </si>
  <si>
    <t xml:space="preserve">  📆  PAGOS FIJOS DEL MES, POR DÍA</t>
  </si>
  <si>
    <t>💡  Se arma desde 🔁 Pagos Fijos. Lista los pagos 1 a 20; los totales por día suman los 25 activos, en promedio 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</si>
</sst>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 %"/>
    <numFmt numFmtId="166" formatCode="&quot;$ &quot;#,##0"/>
    <numFmt numFmtId="167" formatCode="#,##0.00;\(#,##0.00\);\—"/>
    <numFmt numFmtId="168" formatCode="0.0%;\(0.0%\);\—"/>
    <numFmt numFmtId="169" formatCode="0&quot;/10&quot;"/>
    <numFmt numFmtId="170" formatCode="0&quot; meses&quot;"/>
  </numFmts>
  <fonts count="46">
    <font>
      <sz val="11"/>
      <color theme="1"/>
      <name val="Inter"/>
      <scheme val="minor"/>
    </font>
    <font>
      <sz val="11"/>
      <color theme="1"/>
      <name val="Inter"/>
    </font>
    <font>
      <b/>
      <sz val="28"/>
      <color rgb="FFFFFFFF"/>
      <name val="Fraunces"/>
    </font>
    <font>
      <sz val="11"/>
      <name val="Inter"/>
    </font>
    <font>
      <sz val="12"/>
      <color rgb="FFFFFFFF"/>
      <name val="Inter"/>
    </font>
    <font>
      <b/>
      <sz val="11"/>
      <color rgb="FFFFFFFF"/>
      <name val="Inter"/>
    </font>
    <font>
      <sz val="11"/>
      <color rgb="FFFFFFFF"/>
      <name val="Inter"/>
    </font>
    <font>
      <b/>
      <sz val="12"/>
      <color rgb="FFFFFFFF"/>
      <name val="Inter"/>
    </font>
    <font>
      <b/>
      <u/>
      <sz val="12"/>
      <color rgb="FFFFFFFF"/>
      <name val="Inter"/>
    </font>
    <font>
      <b/>
      <sz val="11"/>
      <color rgb="FF0E2F44"/>
      <name val="Inter"/>
    </font>
    <font>
      <b/>
      <sz val="15"/>
      <color rgb="FFFFFFFF"/>
      <name val="Inter"/>
    </font>
    <font>
      <b/>
      <u/>
      <sz val="14"/>
      <color rgb="FFFFFFFF"/>
      <name val="Inter"/>
    </font>
    <font>
      <sz val="10"/>
      <color rgb="FF0E2F44"/>
      <name val="Inter"/>
    </font>
    <font>
      <b/>
      <sz val="17"/>
      <color rgb="FFFFFFFF"/>
      <name val="Fraunces"/>
    </font>
    <font>
      <b/>
      <sz val="10"/>
      <color rgb="FFFFFFFF"/>
      <name val="Inter"/>
    </font>
    <font>
      <b/>
      <sz val="18"/>
      <color rgb="FF0E2F44"/>
      <name val="Fraunces"/>
    </font>
    <font>
      <sz val="11"/>
      <color rgb="FF64748B"/>
      <name val="Inter"/>
    </font>
    <font>
      <i/>
      <sz val="11"/>
      <color rgb="FF64748B"/>
      <name val="Inter"/>
    </font>
    <font>
      <sz val="10"/>
      <color rgb="FF64748B"/>
      <name val="Inter"/>
    </font>
    <font>
      <b/>
      <sz val="13"/>
      <color rgb="FFFFFFFF"/>
      <name val="Inter"/>
    </font>
    <font>
      <sz val="12"/>
      <color rgb="FF0E2F44"/>
      <name val="Inter"/>
    </font>
    <font>
      <sz val="13"/>
      <color rgb="FF0E2F44"/>
      <name val="Inter"/>
    </font>
    <font>
      <sz val="12"/>
      <color rgb="FF64748B"/>
      <name val="Inter"/>
    </font>
    <font>
      <b/>
      <sz val="12"/>
      <color rgb="FF0E2F44"/>
      <name val="Inter"/>
    </font>
    <font>
      <b/>
      <sz val="13"/>
      <color rgb="FF0E2F44"/>
      <name val="Inter"/>
    </font>
    <font>
      <b/>
      <i/>
      <sz val="11"/>
      <color rgb="FF64748B"/>
      <name val="Inter"/>
    </font>
    <font>
      <b/>
      <sz val="11"/>
      <color rgb="FF64748B"/>
      <name val="Inter"/>
    </font>
    <font>
      <sz val="11"/>
      <color rgb="FF0E2F44"/>
      <name val="Inter"/>
    </font>
    <font>
      <b/>
      <sz val="10"/>
      <color rgb="FF0E2F44"/>
      <name val="Inter"/>
    </font>
    <font>
      <b/>
      <sz val="23"/>
      <color rgb="FF0E2F44"/>
      <name val="Fraunces"/>
    </font>
    <font>
      <sz val="11"/>
      <color theme="1"/>
      <name val="Inter"/>
    </font>
    <font>
      <sz val="9"/>
      <color rgb="FFFFFFFF"/>
      <name val="Inter"/>
    </font>
    <font>
      <sz val="13"/>
      <color rgb="FFFFFFFF"/>
      <name val="Inter"/>
    </font>
    <font>
      <b/>
      <sz val="20"/>
      <color rgb="FFFFFFFF"/>
      <name val="Fraunces"/>
    </font>
    <font>
      <sz val="10"/>
      <color rgb="FFFFFFFF"/>
      <name val="Inter"/>
    </font>
    <font>
      <i/>
      <sz val="8"/>
      <color rgb="FF64748B"/>
      <name val="Inter"/>
    </font>
    <font>
      <b/>
      <i/>
      <sz val="10"/>
      <color rgb="FF64748B"/>
      <name val="Inter"/>
    </font>
    <font>
      <b/>
      <sz val="13"/>
      <color rgb="FFD4A41E"/>
      <name val="Inter"/>
    </font>
    <font>
      <b/>
      <i/>
      <sz val="12"/>
      <color rgb="FF0E2F44"/>
      <name val="Inter"/>
    </font>
    <font>
      <sz val="10"/>
      <color rgb="FFFFFFFF"/>
      <name val="Cambria"/>
    </font>
    <font>
      <sz val="17"/>
      <color rgb="FF64748B"/>
      <name val="Fraunces"/>
    </font>
    <font>
      <b/>
      <i/>
      <sz val="9"/>
      <color rgb="FF64748B"/>
      <name val="Inter"/>
    </font>
    <font>
      <b/>
      <sz val="9"/>
      <color rgb="FF0E2F44"/>
      <name val="Inter"/>
    </font>
    <font>
      <sz val="9"/>
      <color rgb="FF0E2F44"/>
      <name val="Inter"/>
    </font>
    <font>
      <b/>
      <sz val="22"/>
      <color rgb="FF0E2F44"/>
      <name val="Fraunces"/>
    </font>
    <font>
      <i/>
      <sz val="10"/>
      <color rgb="FF64748B"/>
      <name val="Inter"/>
    </font>
  </fonts>
  <fills count="9">
    <fill>
      <patternFill patternType="none"/>
    </fill>
    <fill>
      <patternFill patternType="gray125"/>
    </fill>
    <fill>
      <patternFill patternType="solid">
        <fgColor rgb="FF1A3A52"/>
        <bgColor rgb="FF1A3A52"/>
      </patternFill>
    </fill>
    <fill>
      <patternFill patternType="solid">
        <fgColor rgb="FFFFFFFF"/>
        <bgColor rgb="FFFFFFFF"/>
      </patternFill>
    </fill>
    <fill>
      <patternFill patternType="solid">
        <fgColor rgb="FFF8FAFC"/>
        <bgColor rgb="FFF8FAFC"/>
      </patternFill>
    </fill>
    <fill>
      <patternFill patternType="solid">
        <fgColor rgb="FF0E2F44"/>
        <bgColor rgb="FF0E2F44"/>
      </patternFill>
    </fill>
    <fill>
      <patternFill patternType="solid">
        <fgColor rgb="FFDCE7F0"/>
        <bgColor rgb="FFDCE7F0"/>
      </patternFill>
    </fill>
    <fill>
      <patternFill patternType="solid">
        <fgColor rgb="FFFFCA2B"/>
        <bgColor rgb="FFFFCA2B"/>
      </patternFill>
    </fill>
    <fill>
      <patternFill patternType="solid">
        <fgColor theme="0"/>
        <bgColor theme="0"/>
      </patternFill>
    </fill>
  </fills>
  <borders count="1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DCE7F0"/>
      </left>
      <right style="thin">
        <color rgb="FFDCE7F0"/>
      </right>
      <top style="thin">
        <color rgb="FFDCE7F0"/>
      </top>
      <bottom style="thin">
        <color rgb="FFDCE7F0"/>
      </bottom>
      <diagonal/>
    </border>
    <border>
      <left style="thin">
        <color rgb="FFDCE7F0"/>
      </left>
      <right/>
      <top style="thin">
        <color rgb="FFDCE7F0"/>
      </top>
      <bottom style="thin">
        <color rgb="FFDCE7F0"/>
      </bottom>
      <diagonal/>
    </border>
    <border>
      <left/>
      <right style="thin">
        <color rgb="FFDCE7F0"/>
      </right>
      <top style="thin">
        <color rgb="FFDCE7F0"/>
      </top>
      <bottom style="thin">
        <color rgb="FFDCE7F0"/>
      </bottom>
      <diagonal/>
    </border>
    <border>
      <left/>
      <right/>
      <top style="thin">
        <color rgb="FFDCE7F0"/>
      </top>
      <bottom style="thin">
        <color rgb="FFDCE7F0"/>
      </bottom>
      <diagonal/>
    </border>
    <border>
      <left/>
      <right/>
      <top/>
      <bottom style="thick">
        <color rgb="FF1A3A52"/>
      </bottom>
      <diagonal/>
    </border>
    <border>
      <left/>
      <right/>
      <top/>
      <bottom style="thick">
        <color rgb="FF1A3A52"/>
      </bottom>
      <diagonal/>
    </border>
    <border>
      <left/>
      <right/>
      <top/>
      <bottom style="thick">
        <color rgb="FFCD0046"/>
      </bottom>
      <diagonal/>
    </border>
    <border>
      <left/>
      <right/>
      <top/>
      <bottom style="thick">
        <color rgb="FFCD0046"/>
      </bottom>
      <diagonal/>
    </border>
  </borders>
  <cellStyleXfs count="1">
    <xf numFmtId="0" fontId="0" fillId="0" borderId="0"/>
  </cellStyleXfs>
  <cellXfs count="157">
    <xf numFmtId="0" fontId="0" fillId="0" borderId="0" xfId="0"/>
    <xf numFmtId="0" fontId="1" fillId="2" borderId="1" xfId="0" applyFont="1" applyFill="1" applyBorder="1"/>
    <xf numFmtId="0" fontId="4"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1" fillId="3" borderId="1" xfId="0" applyFont="1" applyFill="1" applyBorder="1"/>
    <xf numFmtId="0" fontId="1" fillId="0" borderId="0" xfId="0" applyFont="1"/>
    <xf numFmtId="0" fontId="12" fillId="2" borderId="1" xfId="0" applyFont="1" applyFill="1" applyBorder="1"/>
    <xf numFmtId="0" fontId="12" fillId="3" borderId="1" xfId="0" applyFont="1" applyFill="1" applyBorder="1"/>
    <xf numFmtId="0" fontId="13" fillId="2" borderId="1" xfId="0" applyFont="1" applyFill="1" applyBorder="1" applyAlignment="1">
      <alignment horizontal="left" vertical="center"/>
    </xf>
    <xf numFmtId="0" fontId="6" fillId="2" borderId="1" xfId="0" applyFont="1" applyFill="1" applyBorder="1" applyAlignment="1">
      <alignment horizontal="left" vertical="center"/>
    </xf>
    <xf numFmtId="0" fontId="12" fillId="2" borderId="1" xfId="0" applyFont="1" applyFill="1" applyBorder="1" applyAlignment="1">
      <alignment horizontal="left" vertical="center"/>
    </xf>
    <xf numFmtId="0" fontId="12" fillId="0" borderId="0" xfId="0" applyFont="1"/>
    <xf numFmtId="0" fontId="12" fillId="0" borderId="0" xfId="0" applyFont="1" applyAlignment="1">
      <alignment horizontal="left" vertical="center" wrapText="1"/>
    </xf>
    <xf numFmtId="0" fontId="12" fillId="4" borderId="1" xfId="0" applyFont="1" applyFill="1" applyBorder="1"/>
    <xf numFmtId="0" fontId="12" fillId="0" borderId="0" xfId="0" applyFont="1" applyAlignment="1">
      <alignment horizontal="center" vertical="center"/>
    </xf>
    <xf numFmtId="0" fontId="1" fillId="4" borderId="1" xfId="0" applyFont="1" applyFill="1" applyBorder="1"/>
    <xf numFmtId="0" fontId="19" fillId="4" borderId="1" xfId="0" applyFont="1" applyFill="1" applyBorder="1" applyAlignment="1">
      <alignment horizontal="left" vertical="center"/>
    </xf>
    <xf numFmtId="0" fontId="20" fillId="3" borderId="7"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25" fillId="4" borderId="1" xfId="0" applyFont="1" applyFill="1" applyBorder="1"/>
    <xf numFmtId="0" fontId="26" fillId="6" borderId="1" xfId="0" applyFont="1" applyFill="1" applyBorder="1"/>
    <xf numFmtId="0" fontId="16" fillId="4" borderId="1" xfId="0" applyFont="1" applyFill="1" applyBorder="1"/>
    <xf numFmtId="0" fontId="20" fillId="4" borderId="1" xfId="0" applyFont="1" applyFill="1" applyBorder="1" applyAlignment="1">
      <alignment horizontal="center" vertical="center"/>
    </xf>
    <xf numFmtId="0" fontId="28" fillId="4" borderId="1" xfId="0" applyFont="1" applyFill="1" applyBorder="1" applyAlignment="1">
      <alignment horizontal="center" vertical="center"/>
    </xf>
    <xf numFmtId="0" fontId="12" fillId="4" borderId="1" xfId="0" applyFont="1" applyFill="1" applyBorder="1" applyAlignment="1">
      <alignment horizontal="left" vertical="center"/>
    </xf>
    <xf numFmtId="166" fontId="12" fillId="4" borderId="1" xfId="0" applyNumberFormat="1" applyFont="1" applyFill="1" applyBorder="1" applyAlignment="1">
      <alignment horizontal="right" vertical="center"/>
    </xf>
    <xf numFmtId="166" fontId="5" fillId="5" borderId="1" xfId="0" applyNumberFormat="1" applyFont="1" applyFill="1" applyBorder="1" applyAlignment="1">
      <alignment horizontal="right" vertical="center"/>
    </xf>
    <xf numFmtId="0" fontId="7" fillId="5" borderId="7" xfId="0" applyFont="1" applyFill="1" applyBorder="1" applyAlignment="1">
      <alignment horizontal="center" vertical="center" wrapText="1"/>
    </xf>
    <xf numFmtId="168" fontId="20" fillId="4" borderId="7" xfId="0" applyNumberFormat="1" applyFont="1" applyFill="1" applyBorder="1" applyAlignment="1">
      <alignment horizontal="right" vertical="center"/>
    </xf>
    <xf numFmtId="0" fontId="30" fillId="2" borderId="0" xfId="0" applyFont="1" applyFill="1"/>
    <xf numFmtId="0" fontId="14" fillId="2" borderId="1" xfId="0" applyFont="1" applyFill="1" applyBorder="1" applyAlignment="1">
      <alignment horizontal="left" vertical="center" wrapText="1"/>
    </xf>
    <xf numFmtId="0" fontId="19" fillId="3" borderId="1" xfId="0" applyFont="1" applyFill="1" applyBorder="1" applyAlignment="1">
      <alignment horizontal="left" vertical="center"/>
    </xf>
    <xf numFmtId="0" fontId="12" fillId="0" borderId="0" xfId="0" applyFont="1" applyAlignment="1">
      <alignment horizontal="center" vertical="center" wrapText="1"/>
    </xf>
    <xf numFmtId="0" fontId="12" fillId="2" borderId="1" xfId="0" applyFont="1" applyFill="1" applyBorder="1" applyAlignment="1">
      <alignment horizontal="right" vertical="center"/>
    </xf>
    <xf numFmtId="167" fontId="12" fillId="2" borderId="1" xfId="0" applyNumberFormat="1" applyFont="1" applyFill="1" applyBorder="1" applyAlignment="1">
      <alignment horizontal="right" vertical="center"/>
    </xf>
    <xf numFmtId="167" fontId="12" fillId="2" borderId="1" xfId="0" applyNumberFormat="1" applyFont="1" applyFill="1" applyBorder="1" applyAlignment="1">
      <alignment horizontal="left" vertical="center"/>
    </xf>
    <xf numFmtId="0" fontId="12" fillId="2" borderId="1" xfId="0" applyFont="1" applyFill="1" applyBorder="1" applyAlignment="1">
      <alignment horizontal="left" vertical="center" wrapText="1"/>
    </xf>
    <xf numFmtId="0" fontId="32" fillId="2" borderId="1" xfId="0" applyFont="1" applyFill="1" applyBorder="1" applyAlignment="1">
      <alignment horizontal="right" vertical="center"/>
    </xf>
    <xf numFmtId="3" fontId="12" fillId="0" borderId="0" xfId="0" applyNumberFormat="1" applyFont="1" applyAlignment="1">
      <alignment horizontal="right" vertical="center"/>
    </xf>
    <xf numFmtId="167" fontId="12" fillId="0" borderId="0" xfId="0" applyNumberFormat="1" applyFont="1" applyAlignment="1">
      <alignment horizontal="right" vertical="center"/>
    </xf>
    <xf numFmtId="167" fontId="34" fillId="0" borderId="0" xfId="0" applyNumberFormat="1" applyFont="1" applyAlignment="1">
      <alignment horizontal="right" vertical="center"/>
    </xf>
    <xf numFmtId="0" fontId="35" fillId="0" borderId="0" xfId="0" applyFont="1" applyAlignment="1">
      <alignment horizontal="left" vertical="center"/>
    </xf>
    <xf numFmtId="166" fontId="12" fillId="0" borderId="0" xfId="0" applyNumberFormat="1" applyFont="1" applyAlignment="1">
      <alignment horizontal="right" vertical="center"/>
    </xf>
    <xf numFmtId="0" fontId="30" fillId="4" borderId="0" xfId="0" applyFont="1" applyFill="1"/>
    <xf numFmtId="0" fontId="16" fillId="3" borderId="7" xfId="0" applyFont="1" applyFill="1" applyBorder="1" applyAlignment="1">
      <alignment horizontal="center" vertical="center"/>
    </xf>
    <xf numFmtId="167" fontId="20" fillId="4" borderId="7" xfId="0" applyNumberFormat="1" applyFont="1" applyFill="1" applyBorder="1" applyAlignment="1">
      <alignment horizontal="right" vertical="center"/>
    </xf>
    <xf numFmtId="167" fontId="7" fillId="5" borderId="7" xfId="0" applyNumberFormat="1" applyFont="1" applyFill="1" applyBorder="1" applyAlignment="1">
      <alignment horizontal="right" vertical="center"/>
    </xf>
    <xf numFmtId="167" fontId="23" fillId="4" borderId="7" xfId="0" applyNumberFormat="1" applyFont="1" applyFill="1" applyBorder="1" applyAlignment="1">
      <alignment horizontal="right" vertical="center"/>
    </xf>
    <xf numFmtId="0" fontId="1" fillId="4" borderId="1" xfId="0" applyFont="1" applyFill="1" applyBorder="1" applyAlignment="1">
      <alignment horizontal="right"/>
    </xf>
    <xf numFmtId="0" fontId="36" fillId="4" borderId="1" xfId="0" applyFont="1" applyFill="1" applyBorder="1"/>
    <xf numFmtId="0" fontId="18" fillId="4" borderId="1" xfId="0" applyFont="1" applyFill="1" applyBorder="1"/>
    <xf numFmtId="169" fontId="23" fillId="3" borderId="7" xfId="0" applyNumberFormat="1" applyFont="1" applyFill="1" applyBorder="1" applyAlignment="1">
      <alignment horizontal="center" vertical="center"/>
    </xf>
    <xf numFmtId="0" fontId="27" fillId="3" borderId="7" xfId="0" applyFont="1" applyFill="1" applyBorder="1" applyAlignment="1">
      <alignment horizontal="left" vertical="center" wrapText="1"/>
    </xf>
    <xf numFmtId="0" fontId="1" fillId="5" borderId="7" xfId="0" applyFont="1" applyFill="1" applyBorder="1"/>
    <xf numFmtId="0" fontId="1" fillId="8" borderId="1" xfId="0" applyFont="1" applyFill="1" applyBorder="1"/>
    <xf numFmtId="0" fontId="39" fillId="4" borderId="1" xfId="0" applyFont="1" applyFill="1" applyBorder="1"/>
    <xf numFmtId="1" fontId="24" fillId="3" borderId="7" xfId="0" applyNumberFormat="1" applyFont="1" applyFill="1" applyBorder="1" applyAlignment="1">
      <alignment horizontal="center" vertical="center"/>
    </xf>
    <xf numFmtId="0" fontId="16" fillId="3" borderId="7" xfId="0" applyFont="1" applyFill="1" applyBorder="1" applyAlignment="1">
      <alignment horizontal="left" vertical="center" wrapText="1"/>
    </xf>
    <xf numFmtId="1" fontId="40" fillId="4" borderId="1" xfId="0" applyNumberFormat="1" applyFont="1" applyFill="1" applyBorder="1" applyAlignment="1">
      <alignment horizontal="left" vertical="center"/>
    </xf>
    <xf numFmtId="0" fontId="23" fillId="4" borderId="1" xfId="0" applyFont="1" applyFill="1" applyBorder="1" applyAlignment="1">
      <alignment horizontal="right" vertical="center"/>
    </xf>
    <xf numFmtId="0" fontId="28" fillId="4" borderId="1" xfId="0" applyFont="1" applyFill="1" applyBorder="1" applyAlignment="1">
      <alignment horizontal="left" vertical="center"/>
    </xf>
    <xf numFmtId="0" fontId="28" fillId="4" borderId="1" xfId="0" applyFont="1" applyFill="1" applyBorder="1" applyAlignment="1">
      <alignment horizontal="right" vertical="center"/>
    </xf>
    <xf numFmtId="0" fontId="42" fillId="4" borderId="1" xfId="0" applyFont="1" applyFill="1" applyBorder="1" applyAlignment="1">
      <alignment horizontal="center" vertical="center"/>
    </xf>
    <xf numFmtId="3" fontId="12" fillId="4" borderId="1" xfId="0" applyNumberFormat="1" applyFont="1" applyFill="1" applyBorder="1" applyAlignment="1">
      <alignment horizontal="left" vertical="center"/>
    </xf>
    <xf numFmtId="0" fontId="43" fillId="3" borderId="1" xfId="0" applyFont="1" applyFill="1" applyBorder="1" applyAlignment="1">
      <alignment horizontal="center" vertical="center"/>
    </xf>
    <xf numFmtId="167" fontId="7" fillId="2" borderId="7" xfId="0" applyNumberFormat="1" applyFont="1" applyFill="1" applyBorder="1" applyAlignment="1">
      <alignment horizontal="right" vertical="center"/>
    </xf>
    <xf numFmtId="168" fontId="7" fillId="2" borderId="7" xfId="0" applyNumberFormat="1" applyFont="1" applyFill="1" applyBorder="1" applyAlignment="1">
      <alignment horizontal="right" vertical="center"/>
    </xf>
    <xf numFmtId="167" fontId="7" fillId="7" borderId="7" xfId="0" applyNumberFormat="1" applyFont="1" applyFill="1" applyBorder="1" applyAlignment="1">
      <alignment horizontal="right" vertical="center"/>
    </xf>
    <xf numFmtId="168" fontId="7" fillId="7" borderId="7" xfId="0" applyNumberFormat="1" applyFont="1" applyFill="1" applyBorder="1" applyAlignment="1">
      <alignment horizontal="right" vertical="center"/>
    </xf>
    <xf numFmtId="0" fontId="12" fillId="5" borderId="1" xfId="0" applyFont="1" applyFill="1" applyBorder="1"/>
    <xf numFmtId="164" fontId="20" fillId="3" borderId="7" xfId="0" applyNumberFormat="1" applyFont="1" applyFill="1" applyBorder="1" applyProtection="1">
      <protection locked="0"/>
    </xf>
    <xf numFmtId="165" fontId="20" fillId="3" borderId="7" xfId="0" applyNumberFormat="1" applyFont="1" applyFill="1" applyBorder="1" applyProtection="1">
      <protection locked="0"/>
    </xf>
    <xf numFmtId="0" fontId="21" fillId="3" borderId="7" xfId="0" applyFont="1" applyFill="1" applyBorder="1" applyProtection="1">
      <protection locked="0"/>
    </xf>
    <xf numFmtId="0" fontId="20" fillId="4" borderId="1" xfId="0" applyFont="1" applyFill="1" applyBorder="1" applyProtection="1">
      <protection locked="0"/>
    </xf>
    <xf numFmtId="166" fontId="12" fillId="4" borderId="1" xfId="0" applyNumberFormat="1" applyFont="1" applyFill="1" applyBorder="1" applyProtection="1">
      <protection locked="0"/>
    </xf>
    <xf numFmtId="166" fontId="12" fillId="3" borderId="1" xfId="0" applyNumberFormat="1" applyFont="1" applyFill="1" applyBorder="1" applyProtection="1">
      <protection locked="0"/>
    </xf>
    <xf numFmtId="0" fontId="20" fillId="3" borderId="7" xfId="0" applyFont="1" applyFill="1" applyBorder="1" applyProtection="1">
      <protection locked="0"/>
    </xf>
    <xf numFmtId="167" fontId="20" fillId="3" borderId="7" xfId="0" applyNumberFormat="1" applyFont="1" applyFill="1" applyBorder="1" applyProtection="1">
      <protection locked="0"/>
    </xf>
    <xf numFmtId="1" fontId="20" fillId="3" borderId="7" xfId="0" applyNumberFormat="1" applyFont="1" applyFill="1" applyBorder="1" applyProtection="1">
      <protection locked="0"/>
    </xf>
    <xf numFmtId="0" fontId="7" fillId="5" borderId="7" xfId="0" applyFont="1" applyFill="1" applyBorder="1" applyProtection="1">
      <protection locked="0"/>
    </xf>
    <xf numFmtId="0" fontId="20" fillId="3" borderId="1" xfId="0" applyFont="1" applyFill="1" applyBorder="1" applyProtection="1">
      <protection locked="0"/>
    </xf>
    <xf numFmtId="168" fontId="20" fillId="3" borderId="7" xfId="0" applyNumberFormat="1" applyFont="1" applyFill="1" applyBorder="1" applyProtection="1">
      <protection locked="0"/>
    </xf>
    <xf numFmtId="167" fontId="20" fillId="4" borderId="7" xfId="0" applyNumberFormat="1" applyFont="1" applyFill="1" applyBorder="1"/>
    <xf numFmtId="0" fontId="6" fillId="2" borderId="2" xfId="0" applyFont="1" applyFill="1" applyBorder="1" applyAlignment="1">
      <alignment horizontal="left" vertical="center"/>
    </xf>
    <xf numFmtId="0" fontId="3" fillId="0" borderId="3" xfId="0" applyFont="1" applyBorder="1"/>
    <xf numFmtId="0" fontId="7" fillId="2" borderId="2" xfId="0" applyFont="1" applyFill="1" applyBorder="1" applyAlignment="1">
      <alignment horizontal="left" vertical="center"/>
    </xf>
    <xf numFmtId="0" fontId="11"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10" fillId="2" borderId="2" xfId="0" applyFont="1" applyFill="1" applyBorder="1" applyAlignment="1">
      <alignment horizontal="center" vertical="center"/>
    </xf>
    <xf numFmtId="0" fontId="9" fillId="3" borderId="2" xfId="0" applyFont="1" applyFill="1" applyBorder="1" applyAlignment="1">
      <alignment horizontal="left" vertical="center" wrapText="1"/>
    </xf>
    <xf numFmtId="0" fontId="2"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2" xfId="0" applyFont="1" applyFill="1" applyBorder="1" applyAlignment="1">
      <alignment horizontal="center" vertical="center"/>
    </xf>
    <xf numFmtId="0" fontId="20" fillId="3" borderId="8" xfId="0" applyFont="1" applyFill="1" applyBorder="1" applyProtection="1">
      <protection locked="0"/>
    </xf>
    <xf numFmtId="0" fontId="3" fillId="0" borderId="10" xfId="0" applyFont="1" applyBorder="1"/>
    <xf numFmtId="0" fontId="3" fillId="0" borderId="9" xfId="0" applyFont="1" applyBorder="1"/>
    <xf numFmtId="0" fontId="23" fillId="3" borderId="2" xfId="0" applyFont="1" applyFill="1" applyBorder="1" applyAlignment="1">
      <alignment horizontal="left" vertical="center" wrapText="1"/>
    </xf>
    <xf numFmtId="164" fontId="20" fillId="3" borderId="8" xfId="0" applyNumberFormat="1" applyFont="1" applyFill="1" applyBorder="1" applyProtection="1">
      <protection locked="0"/>
    </xf>
    <xf numFmtId="4" fontId="24" fillId="4" borderId="8" xfId="0" applyNumberFormat="1" applyFont="1" applyFill="1" applyBorder="1" applyAlignment="1">
      <alignment horizontal="right" vertical="center"/>
    </xf>
    <xf numFmtId="0" fontId="7" fillId="2" borderId="8" xfId="0" applyFont="1" applyFill="1" applyBorder="1" applyAlignment="1">
      <alignment horizontal="left" vertical="center" wrapText="1"/>
    </xf>
    <xf numFmtId="0" fontId="20" fillId="4" borderId="8"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3" fillId="0" borderId="5" xfId="0" applyFont="1" applyBorder="1"/>
    <xf numFmtId="0" fontId="3" fillId="0" borderId="6" xfId="0" applyFont="1" applyBorder="1"/>
    <xf numFmtId="0" fontId="0" fillId="0" borderId="0" xfId="0"/>
    <xf numFmtId="0" fontId="17" fillId="3" borderId="2" xfId="0" applyFont="1" applyFill="1" applyBorder="1" applyAlignment="1">
      <alignment horizontal="left" vertical="center" wrapText="1"/>
    </xf>
    <xf numFmtId="0" fontId="19" fillId="2" borderId="2" xfId="0" applyFont="1" applyFill="1" applyBorder="1" applyAlignment="1">
      <alignment horizontal="left" vertical="center"/>
    </xf>
    <xf numFmtId="4" fontId="20" fillId="3" borderId="8" xfId="0" applyNumberFormat="1" applyFont="1" applyFill="1" applyBorder="1" applyProtection="1">
      <protection locked="0"/>
    </xf>
    <xf numFmtId="165" fontId="23" fillId="4" borderId="8" xfId="0" applyNumberFormat="1" applyFont="1" applyFill="1" applyBorder="1" applyAlignment="1">
      <alignment horizontal="right" vertical="center"/>
    </xf>
    <xf numFmtId="0" fontId="17" fillId="4" borderId="2" xfId="0" applyFont="1" applyFill="1" applyBorder="1" applyAlignment="1">
      <alignment horizontal="left" vertical="center" wrapText="1"/>
    </xf>
    <xf numFmtId="1" fontId="20" fillId="3" borderId="8" xfId="0" applyNumberFormat="1" applyFont="1" applyFill="1" applyBorder="1" applyProtection="1">
      <protection locked="0"/>
    </xf>
    <xf numFmtId="0" fontId="13" fillId="2" borderId="2" xfId="0" applyFont="1" applyFill="1" applyBorder="1" applyAlignment="1">
      <alignment horizontal="left" vertical="center"/>
    </xf>
    <xf numFmtId="0" fontId="14" fillId="2" borderId="4" xfId="0" applyFont="1" applyFill="1" applyBorder="1" applyAlignment="1">
      <alignment horizontal="left" vertical="center" wrapText="1"/>
    </xf>
    <xf numFmtId="0" fontId="5" fillId="2" borderId="2" xfId="0" applyFont="1" applyFill="1" applyBorder="1" applyProtection="1">
      <protection locked="0"/>
    </xf>
    <xf numFmtId="3" fontId="33" fillId="2" borderId="2" xfId="0" applyNumberFormat="1" applyFont="1" applyFill="1" applyBorder="1" applyProtection="1">
      <protection locked="0"/>
    </xf>
    <xf numFmtId="0" fontId="24" fillId="4" borderId="2" xfId="0" applyFont="1" applyFill="1" applyBorder="1" applyAlignment="1">
      <alignment horizontal="left" vertical="center"/>
    </xf>
    <xf numFmtId="0" fontId="31" fillId="2" borderId="2" xfId="0" applyFont="1" applyFill="1" applyBorder="1" applyAlignment="1">
      <alignment horizontal="right" vertical="center"/>
    </xf>
    <xf numFmtId="0" fontId="5" fillId="2" borderId="2" xfId="0" applyFont="1" applyFill="1" applyBorder="1" applyAlignment="1">
      <alignment horizontal="left" vertical="center"/>
    </xf>
    <xf numFmtId="0" fontId="6" fillId="2" borderId="2" xfId="0" applyFont="1" applyFill="1" applyBorder="1" applyProtection="1">
      <protection locked="0"/>
    </xf>
    <xf numFmtId="166" fontId="15" fillId="4" borderId="2" xfId="0" applyNumberFormat="1" applyFont="1" applyFill="1" applyBorder="1" applyAlignment="1">
      <alignment horizontal="right" vertical="center"/>
    </xf>
    <xf numFmtId="167" fontId="31" fillId="2" borderId="2" xfId="0" applyNumberFormat="1" applyFont="1" applyFill="1" applyBorder="1" applyAlignment="1">
      <alignment horizontal="right" vertical="center"/>
    </xf>
    <xf numFmtId="0" fontId="6" fillId="2" borderId="4" xfId="0" applyFont="1" applyFill="1" applyBorder="1" applyAlignment="1">
      <alignment horizontal="left" vertical="center"/>
    </xf>
    <xf numFmtId="0" fontId="19" fillId="5" borderId="2" xfId="0" applyFont="1" applyFill="1" applyBorder="1" applyAlignment="1">
      <alignment horizontal="left" vertical="center"/>
    </xf>
    <xf numFmtId="0" fontId="7" fillId="5" borderId="8" xfId="0" applyFont="1" applyFill="1" applyBorder="1" applyAlignment="1">
      <alignment horizontal="left" vertical="center" wrapText="1"/>
    </xf>
    <xf numFmtId="0" fontId="1" fillId="5" borderId="8" xfId="0" applyFont="1" applyFill="1" applyBorder="1"/>
    <xf numFmtId="0" fontId="23" fillId="4" borderId="8" xfId="0" applyFont="1" applyFill="1" applyBorder="1" applyAlignment="1">
      <alignment horizontal="left" vertical="center" wrapText="1"/>
    </xf>
    <xf numFmtId="0" fontId="38" fillId="3" borderId="2" xfId="0" applyFont="1" applyFill="1" applyBorder="1" applyAlignment="1">
      <alignment horizontal="center" vertical="center" wrapText="1"/>
    </xf>
    <xf numFmtId="167" fontId="24" fillId="4" borderId="8" xfId="0" applyNumberFormat="1" applyFont="1" applyFill="1" applyBorder="1" applyAlignment="1">
      <alignment horizontal="right" vertical="center"/>
    </xf>
    <xf numFmtId="0" fontId="20" fillId="3" borderId="8" xfId="0" applyFont="1" applyFill="1" applyBorder="1" applyAlignment="1">
      <alignment horizontal="left" vertical="center" wrapText="1"/>
    </xf>
    <xf numFmtId="167" fontId="37" fillId="4" borderId="8" xfId="0" applyNumberFormat="1" applyFont="1" applyFill="1" applyBorder="1" applyAlignment="1">
      <alignment horizontal="right" vertical="center"/>
    </xf>
    <xf numFmtId="0" fontId="12" fillId="3" borderId="2" xfId="0" applyFont="1" applyFill="1" applyBorder="1" applyProtection="1">
      <protection locked="0"/>
    </xf>
    <xf numFmtId="0" fontId="12" fillId="4" borderId="2" xfId="0" applyFont="1" applyFill="1" applyBorder="1" applyProtection="1">
      <protection locked="0"/>
    </xf>
    <xf numFmtId="0" fontId="28" fillId="4" borderId="2" xfId="0" applyFont="1" applyFill="1" applyBorder="1" applyAlignment="1">
      <alignment horizontal="left" vertical="center"/>
    </xf>
    <xf numFmtId="0" fontId="12" fillId="4" borderId="2" xfId="0" applyFont="1" applyFill="1" applyBorder="1" applyAlignment="1">
      <alignment horizontal="left" vertical="center"/>
    </xf>
    <xf numFmtId="0" fontId="5" fillId="5" borderId="2" xfId="0" applyFont="1" applyFill="1" applyBorder="1" applyAlignment="1">
      <alignment horizontal="left" vertical="center"/>
    </xf>
    <xf numFmtId="0" fontId="7" fillId="2" borderId="8" xfId="0" applyFont="1" applyFill="1" applyBorder="1" applyAlignment="1">
      <alignment horizontal="center" vertical="center"/>
    </xf>
    <xf numFmtId="0" fontId="7" fillId="5" borderId="8" xfId="0" applyFont="1" applyFill="1" applyBorder="1" applyAlignment="1">
      <alignment horizontal="center" vertical="center" wrapText="1"/>
    </xf>
    <xf numFmtId="0" fontId="5" fillId="5" borderId="2" xfId="0" applyFont="1" applyFill="1" applyBorder="1" applyAlignment="1">
      <alignment horizontal="center" vertical="center"/>
    </xf>
    <xf numFmtId="0" fontId="41" fillId="4" borderId="2" xfId="0" applyFont="1" applyFill="1" applyBorder="1" applyAlignment="1">
      <alignment horizontal="left" vertical="center"/>
    </xf>
    <xf numFmtId="0" fontId="26" fillId="3" borderId="2" xfId="0" applyFont="1" applyFill="1" applyBorder="1" applyAlignment="1">
      <alignment horizontal="center" vertical="center"/>
    </xf>
    <xf numFmtId="167" fontId="23" fillId="4" borderId="8" xfId="0" applyNumberFormat="1" applyFont="1" applyFill="1" applyBorder="1" applyAlignment="1">
      <alignment horizontal="right" vertical="center"/>
    </xf>
    <xf numFmtId="0" fontId="29" fillId="4" borderId="2" xfId="0" applyFont="1" applyFill="1" applyBorder="1" applyAlignment="1">
      <alignment horizontal="left" vertical="center"/>
    </xf>
    <xf numFmtId="0" fontId="44" fillId="3" borderId="11" xfId="0" applyFont="1" applyFill="1" applyBorder="1" applyAlignment="1">
      <alignment horizontal="center" vertical="center"/>
    </xf>
    <xf numFmtId="0" fontId="3" fillId="0" borderId="12" xfId="0" applyFont="1" applyBorder="1"/>
    <xf numFmtId="0" fontId="44" fillId="3" borderId="13" xfId="0" applyFont="1" applyFill="1" applyBorder="1" applyAlignment="1">
      <alignment horizontal="center" vertical="center"/>
    </xf>
    <xf numFmtId="0" fontId="3" fillId="0" borderId="14" xfId="0" applyFont="1" applyBorder="1"/>
    <xf numFmtId="0" fontId="9" fillId="3" borderId="2" xfId="0" applyFont="1" applyFill="1" applyBorder="1" applyAlignment="1">
      <alignment horizontal="center" vertical="center"/>
    </xf>
    <xf numFmtId="0" fontId="45" fillId="4" borderId="2" xfId="0" applyFont="1" applyFill="1" applyBorder="1" applyAlignment="1">
      <alignment horizontal="left" vertical="center" wrapText="1"/>
    </xf>
    <xf numFmtId="0" fontId="7" fillId="7" borderId="8" xfId="0" applyFont="1" applyFill="1" applyBorder="1" applyAlignment="1">
      <alignment horizontal="center" vertical="center"/>
    </xf>
    <xf numFmtId="170" fontId="24" fillId="4" borderId="8" xfId="0" applyNumberFormat="1" applyFont="1" applyFill="1" applyBorder="1" applyAlignment="1">
      <alignment horizontal="right" vertical="center"/>
    </xf>
  </cellXfs>
  <cellStyles count="1">
    <cellStyle name="Normal" xfId="0" builtinId="0"/>
  </cellStyles>
  <dxfs count="17">
    <dxf>
      <font>
        <b/>
        <sz val="12"/>
        <color rgb="FFCD0046"/>
        <name val="Inter"/>
      </font>
      <fill>
        <patternFill patternType="solid">
          <fgColor rgb="FFEAE5DC"/>
          <bgColor rgb="FFEAE5DC"/>
        </patternFill>
      </fill>
    </dxf>
    <dxf>
      <font>
        <b/>
        <sz val="12"/>
        <color rgb="FF1A3A52"/>
        <name val="Inter"/>
      </font>
      <fill>
        <patternFill patternType="solid">
          <fgColor rgb="FFE4EBE0"/>
          <bgColor rgb="FFE4EBE0"/>
        </patternFill>
      </fill>
    </dxf>
    <dxf>
      <font>
        <b/>
        <sz val="12"/>
        <color rgb="FF1A3A52"/>
        <name val="Inter"/>
      </font>
      <fill>
        <patternFill patternType="solid">
          <fgColor rgb="FFE4EBE0"/>
          <bgColor rgb="FFE4EBE0"/>
        </patternFill>
      </fill>
    </dxf>
    <dxf>
      <font>
        <b/>
        <sz val="12"/>
        <color rgb="FFCD0046"/>
        <name val="Inter"/>
      </font>
      <fill>
        <patternFill patternType="solid">
          <fgColor rgb="FFEAE5DC"/>
          <bgColor rgb="FFEAE5DC"/>
        </patternFill>
      </fill>
    </dxf>
    <dxf>
      <font>
        <b/>
        <sz val="12"/>
        <color rgb="FF1A3A52"/>
        <name val="Inter"/>
      </font>
      <fill>
        <patternFill patternType="solid">
          <fgColor rgb="FFE4EBE0"/>
          <bgColor rgb="FFE4EBE0"/>
        </patternFill>
      </fill>
    </dxf>
    <dxf>
      <font>
        <b/>
        <sz val="12"/>
        <color rgb="FFCD0046"/>
        <name val="Inter"/>
      </font>
      <fill>
        <patternFill patternType="solid">
          <fgColor rgb="FFEAE5DC"/>
          <bgColor rgb="FFEAE5DC"/>
        </patternFill>
      </fill>
    </dxf>
    <dxf>
      <font>
        <b/>
        <sz val="12"/>
        <color rgb="FFCD0046"/>
        <name val="Inter"/>
      </font>
      <fill>
        <patternFill patternType="solid">
          <fgColor rgb="FFEAE5DC"/>
          <bgColor rgb="FFEAE5DC"/>
        </patternFill>
      </fill>
    </dxf>
    <dxf>
      <font>
        <b/>
        <sz val="12"/>
        <color rgb="FF1A3A52"/>
        <name val="Inter"/>
      </font>
      <fill>
        <patternFill patternType="solid">
          <fgColor rgb="FFE4EBE0"/>
          <bgColor rgb="FFE4EBE0"/>
        </patternFill>
      </fill>
    </dxf>
    <dxf>
      <font>
        <b/>
        <sz val="14"/>
        <color rgb="FFFFFFFF"/>
        <name val="Inter"/>
      </font>
      <fill>
        <patternFill patternType="solid">
          <fgColor rgb="FFA86464"/>
          <bgColor rgb="FFA86464"/>
        </patternFill>
      </fill>
    </dxf>
    <dxf>
      <font>
        <b/>
        <sz val="22"/>
        <color rgb="FFCD0046"/>
        <name val="Fraunces"/>
      </font>
      <fill>
        <patternFill patternType="none"/>
      </fill>
    </dxf>
    <dxf>
      <font>
        <b/>
        <sz val="22"/>
        <color rgb="FF1A3A52"/>
        <name val="Fraunces"/>
      </font>
      <fill>
        <patternFill patternType="none"/>
      </fill>
    </dxf>
    <dxf>
      <font>
        <b/>
        <sz val="11"/>
        <color rgb="FF1A3A52"/>
        <name val="Inter"/>
      </font>
      <fill>
        <patternFill patternType="solid">
          <fgColor rgb="FFE4EBE0"/>
          <bgColor rgb="FFE4EBE0"/>
        </patternFill>
      </fill>
    </dxf>
    <dxf>
      <font>
        <sz val="11"/>
        <color rgb="FF1A3A52"/>
        <name val="Inter"/>
      </font>
      <fill>
        <patternFill patternType="solid">
          <fgColor rgb="FFE4EBE0"/>
          <bgColor rgb="FFE4EBE0"/>
        </patternFill>
      </fill>
    </dxf>
    <dxf>
      <font>
        <b/>
        <sz val="12"/>
        <color rgb="FF1A3A52"/>
        <name val="Inter"/>
      </font>
      <fill>
        <patternFill patternType="solid">
          <fgColor rgb="FFE4EBE0"/>
          <bgColor rgb="FFE4EBE0"/>
        </patternFill>
      </fill>
    </dxf>
    <dxf>
      <font>
        <b/>
        <sz val="12"/>
        <color rgb="FFCD0046"/>
        <name val="Inter"/>
      </font>
      <fill>
        <patternFill patternType="solid">
          <fgColor rgb="FFEAE5DC"/>
          <bgColor rgb="FFEAE5DC"/>
        </patternFill>
      </fill>
    </dxf>
    <dxf>
      <font>
        <b/>
        <sz val="12"/>
        <color rgb="FF1A3A52"/>
        <name val="Inter"/>
      </font>
      <fill>
        <patternFill patternType="solid">
          <fgColor rgb="FFE4EBE0"/>
          <bgColor rgb="FFE4EBE0"/>
        </patternFill>
      </fill>
    </dxf>
    <dxf>
      <font>
        <b/>
        <sz val="12"/>
        <color rgb="FFCD0046"/>
        <name val="Inter"/>
      </font>
      <fill>
        <patternFill patternType="solid">
          <fgColor rgb="FFEAE5DC"/>
          <bgColor rgb="FFEAE5D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34" Type="http://schemas.openxmlformats.org/officeDocument/2006/relationships/theme" Target="theme/theme1.xml"/><Relationship Id="rId7" Type="http://schemas.openxmlformats.org/officeDocument/2006/relationships/worksheet" Target="worksheets/sheet7.xml"/><Relationship Id="rId33"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36" Type="http://schemas.openxmlformats.org/officeDocument/2006/relationships/sharedStrings" Target="sharedStrings.xml"/><Relationship Id="rId4" Type="http://schemas.openxmlformats.org/officeDocument/2006/relationships/worksheet" Target="worksheets/sheet4.xml"/><Relationship Id="rId35" Type="http://schemas.openxmlformats.org/officeDocument/2006/relationships/styles" Target="styles.xml"/><Relationship Id="rId101" Type="http://schemas.openxmlformats.org/officeDocument/2006/relationships/worksheet" Target="worksheets/sheet9.xml"/><Relationship Id="rId102" Type="http://schemas.openxmlformats.org/officeDocument/2006/relationships/worksheet" Target="worksheets/sheet10.xml"/><Relationship Id="rId103" Type="http://schemas.openxmlformats.org/officeDocument/2006/relationships/worksheet" Target="worksheets/sheet11.xml"/><Relationship Id="rId104" Type="http://schemas.openxmlformats.org/officeDocument/2006/relationships/worksheet" Target="worksheets/sheet12.xml"/><Relationship Id="rId105" Type="http://schemas.openxmlformats.org/officeDocument/2006/relationships/worksheet" Target="worksheets/sheet13.xml"/><Relationship Id="rId106" Type="http://schemas.openxmlformats.org/officeDocument/2006/relationships/worksheet" Target="worksheets/sheet14.xml"/><Relationship Id="rId107" Type="http://schemas.openxmlformats.org/officeDocument/2006/relationships/worksheet" Target="worksheets/sheet15.xml"/><Relationship Id="rId108" Type="http://schemas.openxmlformats.org/officeDocument/2006/relationships/worksheet" Target="worksheets/sheet16.xml"/><Relationship Id="rId109" Type="http://schemas.openxmlformats.org/officeDocument/2006/relationships/worksheet" Target="worksheets/sheet17.xml"/><Relationship Id="rId110" Type="http://schemas.openxmlformats.org/officeDocument/2006/relationships/worksheet" Target="worksheets/sheet18.xml"/><Relationship Id="rId111" Type="http://schemas.openxmlformats.org/officeDocument/2006/relationships/worksheet" Target="worksheets/sheet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Saldo por cuenta</a:t>
            </a:r>
          </a:p>
        </c:rich>
      </c:tx>
      <c:overlay val="0"/>
    </c:title>
    <c:autoTitleDeleted val="0"/>
    <c:plotArea>
      <c:layout/>
      <c:barChart>
        <c:barDir val="col"/>
        <c:grouping val="clustered"/>
        <c:varyColors val="1"/>
        <c:ser>
          <c:idx val="0"/>
          <c:order val="0"/>
          <c:tx>
            <c:v>Saldo</c:v>
          </c:tx>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529D-47F0-AA73-597FE1B0B17B}"/>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529D-47F0-AA73-597FE1B0B17B}"/>
              </c:ext>
            </c:extLst>
          </c:dPt>
          <c:dPt>
            <c:idx val="2"/>
            <c:invertIfNegative val="1"/>
            <c:bubble3D val="0"/>
            <c:spPr>
              <a:solidFill>
                <a:srgbClr val="FFCA2B"/>
              </a:solidFill>
              <a:ln cmpd="sng">
                <a:solidFill>
                  <a:srgbClr val="000000"/>
                </a:solidFill>
              </a:ln>
            </c:spPr>
            <c:extLst>
              <c:ext xmlns:c16="http://schemas.microsoft.com/office/drawing/2014/chart" uri="{C3380CC4-5D6E-409C-BE32-E72D297353CC}">
                <c16:uniqueId val="{00000005-529D-47F0-AA73-597FE1B0B17B}"/>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529D-47F0-AA73-597FE1B0B17B}"/>
              </c:ext>
            </c:extLst>
          </c:dPt>
          <c:dPt>
            <c:idx val="4"/>
            <c:invertIfNegative val="1"/>
            <c:bubble3D val="0"/>
            <c:spPr>
              <a:solidFill>
                <a:srgbClr val="F59E0B"/>
              </a:solidFill>
              <a:ln cmpd="sng">
                <a:solidFill>
                  <a:srgbClr val="000000"/>
                </a:solidFill>
              </a:ln>
            </c:spPr>
            <c:extLst>
              <c:ext xmlns:c16="http://schemas.microsoft.com/office/drawing/2014/chart" uri="{C3380CC4-5D6E-409C-BE32-E72D297353CC}">
                <c16:uniqueId val="{00000009-529D-47F0-AA73-597FE1B0B17B}"/>
              </c:ext>
            </c:extLst>
          </c:dPt>
          <c:dPt>
            <c:idx val="5"/>
            <c:invertIfNegative val="1"/>
            <c:bubble3D val="0"/>
            <c:spPr>
              <a:solidFill>
                <a:srgbClr val="1A3A52"/>
              </a:solidFill>
              <a:ln cmpd="sng">
                <a:solidFill>
                  <a:srgbClr val="000000"/>
                </a:solidFill>
              </a:ln>
            </c:spPr>
            <c:extLst>
              <c:ext xmlns:c16="http://schemas.microsoft.com/office/drawing/2014/chart" uri="{C3380CC4-5D6E-409C-BE32-E72D297353CC}">
                <c16:uniqueId val="{0000000B-529D-47F0-AA73-597FE1B0B17B}"/>
              </c:ext>
            </c:extLst>
          </c:dPt>
          <c:dLbls>
            <c:numFmt formatCode="#,##0" sourceLinked="0"/>
            <c:spPr>
              <a:noFill/>
              <a:ln>
                <a:noFill/>
              </a:ln>
              <a:effectLst/>
            </c:spPr>
            <c:txPr>
              <a:bodyPr/>
              <a:lstStyle/>
              <a:p>
                <a:pPr lvl="0">
                  <a:defRPr sz="1100" b="1" i="0">
                    <a:solidFill>
                      <a:srgbClr val="000000"/>
                    </a:solidFill>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 Cuentas'!$AB$27:$AB$32</c:f>
              <c:strCache>
                <c:ptCount val="6"/>
                <c:pt idx="0">
                  <c:v>🏦 Banco Principal</c:v>
                </c:pt>
                <c:pt idx="1">
                  <c:v>🏦 Banco Secundario</c:v>
                </c:pt>
                <c:pt idx="2">
                  <c:v>💵 Efectivo</c:v>
                </c:pt>
                <c:pt idx="3">
                  <c:v>📱 Mercado Pago</c:v>
                </c:pt>
                <c:pt idx="4">
                  <c:v>💵 Cuenta USD</c:v>
                </c:pt>
                <c:pt idx="5">
                  <c:v>💼 Otra cuenta</c:v>
                </c:pt>
              </c:strCache>
            </c:strRef>
          </c:cat>
          <c:val>
            <c:numRef>
              <c:f>'💳 Cuentas'!$AD$27:$AD$32</c:f>
              <c:numCache>
                <c:formatCode>"$ "#,##0</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C-529D-47F0-AA73-597FE1B0B17B}"/>
            </c:ext>
          </c:extLst>
        </c:ser>
        <c:dLbls>
          <c:showLegendKey val="0"/>
          <c:showVal val="0"/>
          <c:showCatName val="0"/>
          <c:showSerName val="0"/>
          <c:showPercent val="0"/>
          <c:showBubbleSize val="0"/>
        </c:dLbls>
        <c:gapWidth val="150"/>
        <c:axId val="181753639"/>
        <c:axId val="1330032752"/>
      </c:barChart>
      <c:catAx>
        <c:axId val="181753639"/>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30032752"/>
        <c:crosses val="autoZero"/>
        <c:auto val="1"/>
        <c:lblAlgn val="ctr"/>
        <c:lblOffset val="100"/>
        <c:noMultiLvlLbl val="1"/>
      </c:catAx>
      <c:valAx>
        <c:axId val="13300327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81753639"/>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Pagos por categoría</a:t>
            </a:r>
          </a:p>
        </c:rich>
      </c:tx>
      <c:overlay val="0"/>
    </c:title>
    <c:autoTitleDeleted val="0"/>
    <c:plotArea>
      <c:layout/>
      <c:barChart>
        <c:barDir val="col"/>
        <c:grouping val="clustered"/>
        <c:varyColors val="1"/>
        <c:ser>
          <c:idx val="0"/>
          <c:order val="0"/>
          <c:spPr>
            <a:solidFill>
              <a:srgbClr val="4F81BD"/>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D55F-4162-B007-C8ABD5F8E844}"/>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D55F-4162-B007-C8ABD5F8E844}"/>
              </c:ext>
            </c:extLst>
          </c:dPt>
          <c:dPt>
            <c:idx val="2"/>
            <c:invertIfNegative val="1"/>
            <c:bubble3D val="0"/>
            <c:spPr>
              <a:solidFill>
                <a:srgbClr val="FFCA2B"/>
              </a:solidFill>
              <a:ln cmpd="sng">
                <a:solidFill>
                  <a:srgbClr val="000000"/>
                </a:solidFill>
              </a:ln>
            </c:spPr>
            <c:extLst>
              <c:ext xmlns:c16="http://schemas.microsoft.com/office/drawing/2014/chart" uri="{C3380CC4-5D6E-409C-BE32-E72D297353CC}">
                <c16:uniqueId val="{00000005-D55F-4162-B007-C8ABD5F8E844}"/>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D55F-4162-B007-C8ABD5F8E844}"/>
              </c:ext>
            </c:extLst>
          </c:dPt>
          <c:dPt>
            <c:idx val="4"/>
            <c:invertIfNegative val="1"/>
            <c:bubble3D val="0"/>
            <c:spPr>
              <a:solidFill>
                <a:srgbClr val="F59E0B"/>
              </a:solidFill>
              <a:ln cmpd="sng">
                <a:solidFill>
                  <a:srgbClr val="000000"/>
                </a:solidFill>
              </a:ln>
            </c:spPr>
            <c:extLst>
              <c:ext xmlns:c16="http://schemas.microsoft.com/office/drawing/2014/chart" uri="{C3380CC4-5D6E-409C-BE32-E72D297353CC}">
                <c16:uniqueId val="{00000009-D55F-4162-B007-C8ABD5F8E844}"/>
              </c:ext>
            </c:extLst>
          </c:dPt>
          <c:dPt>
            <c:idx val="5"/>
            <c:invertIfNegative val="1"/>
            <c:bubble3D val="0"/>
            <c:spPr>
              <a:solidFill>
                <a:srgbClr val="1A3A52"/>
              </a:solidFill>
              <a:ln cmpd="sng">
                <a:solidFill>
                  <a:srgbClr val="000000"/>
                </a:solidFill>
              </a:ln>
            </c:spPr>
            <c:extLst>
              <c:ext xmlns:c16="http://schemas.microsoft.com/office/drawing/2014/chart" uri="{C3380CC4-5D6E-409C-BE32-E72D297353CC}">
                <c16:uniqueId val="{0000000B-D55F-4162-B007-C8ABD5F8E844}"/>
              </c:ext>
            </c:extLst>
          </c:dPt>
          <c:dPt>
            <c:idx val="6"/>
            <c:invertIfNegative val="1"/>
            <c:bubble3D val="0"/>
            <c:spPr>
              <a:solidFill>
                <a:srgbClr val="CD0046"/>
              </a:solidFill>
              <a:ln cmpd="sng">
                <a:solidFill>
                  <a:srgbClr val="000000"/>
                </a:solidFill>
              </a:ln>
            </c:spPr>
            <c:extLst>
              <c:ext xmlns:c16="http://schemas.microsoft.com/office/drawing/2014/chart" uri="{C3380CC4-5D6E-409C-BE32-E72D297353CC}">
                <c16:uniqueId val="{0000000D-D55F-4162-B007-C8ABD5F8E844}"/>
              </c:ext>
            </c:extLst>
          </c:dPt>
          <c:dPt>
            <c:idx val="7"/>
            <c:invertIfNegative val="1"/>
            <c:bubble3D val="0"/>
            <c:spPr>
              <a:solidFill>
                <a:srgbClr val="3B82F6"/>
              </a:solidFill>
              <a:ln cmpd="sng">
                <a:solidFill>
                  <a:srgbClr val="000000"/>
                </a:solidFill>
              </a:ln>
            </c:spPr>
            <c:extLst>
              <c:ext xmlns:c16="http://schemas.microsoft.com/office/drawing/2014/chart" uri="{C3380CC4-5D6E-409C-BE32-E72D297353CC}">
                <c16:uniqueId val="{0000000F-D55F-4162-B007-C8ABD5F8E844}"/>
              </c:ext>
            </c:extLst>
          </c:dPt>
          <c:dLbls>
            <c:dLbl>
              <c:idx val="0"/>
              <c:numFmt formatCode="#,##0" sourceLinked="0"/>
              <c:spPr/>
              <c:txPr>
                <a:bodyPr/>
                <a:lstStyle/>
                <a:p>
                  <a:pPr lvl="0">
                    <a:defRPr>
                      <a:solidFill>
                        <a:srgbClr val="FFFFFF"/>
                      </a:solidFill>
                    </a:defRPr>
                  </a:pPr>
                  <a:endParaRPr lang="es-AR"/>
                </a:p>
              </c:txPr>
              <c:showLegendKey val="0"/>
              <c:showVal val="1"/>
              <c:showCatName val="0"/>
              <c:showSerName val="0"/>
              <c:showPercent val="0"/>
              <c:showBubbleSize val="0"/>
              <c:extLst>
                <c:ext xmlns:c16="http://schemas.microsoft.com/office/drawing/2014/chart" uri="{C3380CC4-5D6E-409C-BE32-E72D297353CC}">
                  <c16:uniqueId val="{00000001-D55F-4162-B007-C8ABD5F8E844}"/>
                </c:ext>
              </c:extLst>
            </c:dLbl>
            <c:dLbl>
              <c:idx val="1"/>
              <c:numFmt formatCode="#,##0" sourceLinked="0"/>
              <c:spPr/>
              <c:txPr>
                <a:bodyPr/>
                <a:lstStyle/>
                <a:p>
                  <a:pPr lvl="0">
                    <a:defRPr>
                      <a:solidFill>
                        <a:srgbClr val="FFFFFF"/>
                      </a:solidFill>
                    </a:defRPr>
                  </a:pPr>
                  <a:endParaRPr lang="es-AR"/>
                </a:p>
              </c:txPr>
              <c:showLegendKey val="0"/>
              <c:showVal val="1"/>
              <c:showCatName val="0"/>
              <c:showSerName val="0"/>
              <c:showPercent val="0"/>
              <c:showBubbleSize val="0"/>
              <c:extLst>
                <c:ext xmlns:c16="http://schemas.microsoft.com/office/drawing/2014/chart" uri="{C3380CC4-5D6E-409C-BE32-E72D297353CC}">
                  <c16:uniqueId val="{00000003-D55F-4162-B007-C8ABD5F8E844}"/>
                </c:ext>
              </c:extLst>
            </c:dLbl>
            <c:dLbl>
              <c:idx val="3"/>
              <c:numFmt formatCode="#,##0" sourceLinked="0"/>
              <c:spPr/>
              <c:txPr>
                <a:bodyPr/>
                <a:lstStyle/>
                <a:p>
                  <a:pPr lvl="0">
                    <a:defRPr>
                      <a:solidFill>
                        <a:srgbClr val="FFFFFF"/>
                      </a:solidFill>
                    </a:defRPr>
                  </a:pPr>
                  <a:endParaRPr lang="es-AR"/>
                </a:p>
              </c:txPr>
              <c:showLegendKey val="0"/>
              <c:showVal val="1"/>
              <c:showCatName val="0"/>
              <c:showSerName val="0"/>
              <c:showPercent val="0"/>
              <c:showBubbleSize val="0"/>
              <c:extLst>
                <c:ext xmlns:c16="http://schemas.microsoft.com/office/drawing/2014/chart" uri="{C3380CC4-5D6E-409C-BE32-E72D297353CC}">
                  <c16:uniqueId val="{00000007-D55F-4162-B007-C8ABD5F8E844}"/>
                </c:ext>
              </c:extLst>
            </c:dLbl>
            <c:dLbl>
              <c:idx val="5"/>
              <c:numFmt formatCode="#,##0" sourceLinked="0"/>
              <c:spPr/>
              <c:txPr>
                <a:bodyPr/>
                <a:lstStyle/>
                <a:p>
                  <a:pPr lvl="0">
                    <a:defRPr>
                      <a:solidFill>
                        <a:srgbClr val="FFFFFF"/>
                      </a:solidFill>
                    </a:defRPr>
                  </a:pPr>
                  <a:endParaRPr lang="es-AR"/>
                </a:p>
              </c:txPr>
              <c:showLegendKey val="0"/>
              <c:showVal val="1"/>
              <c:showCatName val="0"/>
              <c:showSerName val="0"/>
              <c:showPercent val="0"/>
              <c:showBubbleSize val="0"/>
              <c:extLst>
                <c:ext xmlns:c16="http://schemas.microsoft.com/office/drawing/2014/chart" uri="{C3380CC4-5D6E-409C-BE32-E72D297353CC}">
                  <c16:uniqueId val="{0000000B-D55F-4162-B007-C8ABD5F8E844}"/>
                </c:ext>
              </c:extLst>
            </c:dLbl>
            <c:dLbl>
              <c:idx val="6"/>
              <c:numFmt formatCode="#,##0" sourceLinked="0"/>
              <c:spPr/>
              <c:txPr>
                <a:bodyPr/>
                <a:lstStyle/>
                <a:p>
                  <a:pPr lvl="0">
                    <a:defRPr>
                      <a:solidFill>
                        <a:srgbClr val="FFFFFF"/>
                      </a:solidFill>
                    </a:defRPr>
                  </a:pPr>
                  <a:endParaRPr lang="es-AR"/>
                </a:p>
              </c:txPr>
              <c:showLegendKey val="0"/>
              <c:showVal val="1"/>
              <c:showCatName val="0"/>
              <c:showSerName val="0"/>
              <c:showPercent val="0"/>
              <c:showBubbleSize val="0"/>
              <c:extLst>
                <c:ext xmlns:c16="http://schemas.microsoft.com/office/drawing/2014/chart" uri="{C3380CC4-5D6E-409C-BE32-E72D297353CC}">
                  <c16:uniqueId val="{0000000D-D55F-4162-B007-C8ABD5F8E844}"/>
                </c:ext>
              </c:extLst>
            </c:dLbl>
            <c:dLbl>
              <c:idx val="7"/>
              <c:numFmt formatCode="#,##0" sourceLinked="0"/>
              <c:spPr/>
              <c:txPr>
                <a:bodyPr/>
                <a:lstStyle/>
                <a:p>
                  <a:pPr lvl="0">
                    <a:defRPr>
                      <a:solidFill>
                        <a:srgbClr val="FFFFFF"/>
                      </a:solidFill>
                    </a:defRPr>
                  </a:pPr>
                  <a:endParaRPr lang="es-AR"/>
                </a:p>
              </c:txPr>
              <c:showLegendKey val="0"/>
              <c:showVal val="1"/>
              <c:showCatName val="0"/>
              <c:showSerName val="0"/>
              <c:showPercent val="0"/>
              <c:showBubbleSize val="0"/>
              <c:extLst>
                <c:ext xmlns:c16="http://schemas.microsoft.com/office/drawing/2014/chart" uri="{C3380CC4-5D6E-409C-BE32-E72D297353CC}">
                  <c16:uniqueId val="{0000000F-D55F-4162-B007-C8ABD5F8E844}"/>
                </c:ext>
              </c:extLst>
            </c:dLbl>
            <c:numFmt formatCode="#,##0" sourceLinked="0"/>
            <c:spPr>
              <a:noFill/>
              <a:ln>
                <a:noFill/>
              </a:ln>
              <a:effectLst/>
            </c:spPr>
            <c:txPr>
              <a:bodyPr/>
              <a:lstStyle/>
              <a:p>
                <a:pPr lvl="0">
                  <a:defRPr sz="1100" b="1" i="0">
                    <a:solidFill>
                      <a:srgbClr val="000000"/>
                    </a:solidFill>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 Pagos Fijos'!$C$40:$C$47</c:f>
              <c:strCache>
                <c:ptCount val="8"/>
                <c:pt idx="0">
                  <c:v>Deporte</c:v>
                </c:pt>
                <c:pt idx="1">
                  <c:v>Hogar</c:v>
                </c:pt>
                <c:pt idx="2">
                  <c:v>Suscripciones</c:v>
                </c:pt>
                <c:pt idx="3">
                  <c:v>Seguros</c:v>
                </c:pt>
                <c:pt idx="4">
                  <c:v>Salud</c:v>
                </c:pt>
                <c:pt idx="5">
                  <c:v>Internet y Celular</c:v>
                </c:pt>
                <c:pt idx="6">
                  <c:v>Servicios</c:v>
                </c:pt>
                <c:pt idx="7">
                  <c:v>Impuestos</c:v>
                </c:pt>
              </c:strCache>
            </c:strRef>
          </c:cat>
          <c:val>
            <c:numRef>
              <c:f>'🔁 Pagos Fijos'!$D$40:$D$47</c:f>
              <c:numCache>
                <c:formatCode>General</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0-D55F-4162-B007-C8ABD5F8E844}"/>
            </c:ext>
          </c:extLst>
        </c:ser>
        <c:dLbls>
          <c:showLegendKey val="0"/>
          <c:showVal val="0"/>
          <c:showCatName val="0"/>
          <c:showSerName val="0"/>
          <c:showPercent val="0"/>
          <c:showBubbleSize val="0"/>
        </c:dLbls>
        <c:gapWidth val="150"/>
        <c:axId val="1871565060"/>
        <c:axId val="1118416215"/>
      </c:barChart>
      <c:catAx>
        <c:axId val="187156506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100" b="0" i="0">
                <a:solidFill>
                  <a:srgbClr val="000000"/>
                </a:solidFill>
                <a:latin typeface="Arial"/>
              </a:defRPr>
            </a:pPr>
            <a:endParaRPr lang="es-AR"/>
          </a:p>
        </c:txPr>
        <c:crossAx val="1118416215"/>
        <c:crosses val="autoZero"/>
        <c:auto val="1"/>
        <c:lblAlgn val="ctr"/>
        <c:lblOffset val="100"/>
        <c:noMultiLvlLbl val="1"/>
      </c:catAx>
      <c:valAx>
        <c:axId val="111841621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sz="1100" b="0" i="0">
                <a:solidFill>
                  <a:srgbClr val="000000"/>
                </a:solidFill>
                <a:latin typeface="Arial"/>
              </a:defRPr>
            </a:pPr>
            <a:endParaRPr lang="es-AR"/>
          </a:p>
        </c:txPr>
        <c:crossAx val="1871565060"/>
        <c:crosses val="autoZero"/>
        <c:crossBetween val="between"/>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Suscripciones por Costo</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1B4A-42EB-9BFD-FA0B66023D1C}"/>
              </c:ext>
            </c:extLst>
          </c:dPt>
          <c:dPt>
            <c:idx val="1"/>
            <c:bubble3D val="0"/>
            <c:spPr>
              <a:solidFill>
                <a:srgbClr val="CD0046"/>
              </a:solidFill>
            </c:spPr>
            <c:extLst>
              <c:ext xmlns:c16="http://schemas.microsoft.com/office/drawing/2014/chart" uri="{C3380CC4-5D6E-409C-BE32-E72D297353CC}">
                <c16:uniqueId val="{00000003-1B4A-42EB-9BFD-FA0B66023D1C}"/>
              </c:ext>
            </c:extLst>
          </c:dPt>
          <c:dPt>
            <c:idx val="2"/>
            <c:bubble3D val="0"/>
            <c:spPr>
              <a:solidFill>
                <a:srgbClr val="FFCA2B"/>
              </a:solidFill>
            </c:spPr>
            <c:extLst>
              <c:ext xmlns:c16="http://schemas.microsoft.com/office/drawing/2014/chart" uri="{C3380CC4-5D6E-409C-BE32-E72D297353CC}">
                <c16:uniqueId val="{00000005-1B4A-42EB-9BFD-FA0B66023D1C}"/>
              </c:ext>
            </c:extLst>
          </c:dPt>
          <c:dPt>
            <c:idx val="3"/>
            <c:bubble3D val="0"/>
            <c:spPr>
              <a:solidFill>
                <a:srgbClr val="8B5CF6"/>
              </a:solidFill>
            </c:spPr>
            <c:extLst>
              <c:ext xmlns:c16="http://schemas.microsoft.com/office/drawing/2014/chart" uri="{C3380CC4-5D6E-409C-BE32-E72D297353CC}">
                <c16:uniqueId val="{00000007-1B4A-42EB-9BFD-FA0B66023D1C}"/>
              </c:ext>
            </c:extLst>
          </c:dPt>
          <c:dPt>
            <c:idx val="4"/>
            <c:bubble3D val="0"/>
            <c:spPr>
              <a:solidFill>
                <a:srgbClr val="F59E0B"/>
              </a:solidFill>
            </c:spPr>
            <c:extLst>
              <c:ext xmlns:c16="http://schemas.microsoft.com/office/drawing/2014/chart" uri="{C3380CC4-5D6E-409C-BE32-E72D297353CC}">
                <c16:uniqueId val="{00000009-1B4A-42EB-9BFD-FA0B66023D1C}"/>
              </c:ext>
            </c:extLst>
          </c:dPt>
          <c:dPt>
            <c:idx val="5"/>
            <c:bubble3D val="0"/>
            <c:spPr>
              <a:solidFill>
                <a:schemeClr val="accent1"/>
              </a:solidFill>
            </c:spPr>
            <c:extLst>
              <c:ext xmlns:c16="http://schemas.microsoft.com/office/drawing/2014/chart" uri="{C3380CC4-5D6E-409C-BE32-E72D297353CC}">
                <c16:uniqueId val="{0000000B-1B4A-42EB-9BFD-FA0B66023D1C}"/>
              </c:ext>
            </c:extLst>
          </c:dPt>
          <c:dPt>
            <c:idx val="6"/>
            <c:bubble3D val="0"/>
            <c:extLst>
              <c:ext xmlns:c16="http://schemas.microsoft.com/office/drawing/2014/chart" uri="{C3380CC4-5D6E-409C-BE32-E72D297353CC}">
                <c16:uniqueId val="{0000000C-1B4A-42EB-9BFD-FA0B66023D1C}"/>
              </c:ext>
            </c:extLst>
          </c:dPt>
          <c:dPt>
            <c:idx val="7"/>
            <c:bubble3D val="0"/>
            <c:extLst>
              <c:ext xmlns:c16="http://schemas.microsoft.com/office/drawing/2014/chart" uri="{C3380CC4-5D6E-409C-BE32-E72D297353CC}">
                <c16:uniqueId val="{0000000D-1B4A-42EB-9BFD-FA0B66023D1C}"/>
              </c:ext>
            </c:extLst>
          </c:dPt>
          <c:dPt>
            <c:idx val="8"/>
            <c:bubble3D val="0"/>
            <c:extLst>
              <c:ext xmlns:c16="http://schemas.microsoft.com/office/drawing/2014/chart" uri="{C3380CC4-5D6E-409C-BE32-E72D297353CC}">
                <c16:uniqueId val="{0000000E-1B4A-42EB-9BFD-FA0B66023D1C}"/>
              </c:ext>
            </c:extLst>
          </c:dPt>
          <c:dPt>
            <c:idx val="9"/>
            <c:bubble3D val="0"/>
            <c:extLst>
              <c:ext xmlns:c16="http://schemas.microsoft.com/office/drawing/2014/chart" uri="{C3380CC4-5D6E-409C-BE32-E72D297353CC}">
                <c16:uniqueId val="{0000000F-1B4A-42EB-9BFD-FA0B66023D1C}"/>
              </c:ext>
            </c:extLst>
          </c:dPt>
          <c:dPt>
            <c:idx val="10"/>
            <c:bubble3D val="0"/>
            <c:extLst>
              <c:ext xmlns:c16="http://schemas.microsoft.com/office/drawing/2014/chart" uri="{C3380CC4-5D6E-409C-BE32-E72D297353CC}">
                <c16:uniqueId val="{00000010-1B4A-42EB-9BFD-FA0B66023D1C}"/>
              </c:ext>
            </c:extLst>
          </c:dPt>
          <c:dPt>
            <c:idx val="11"/>
            <c:bubble3D val="0"/>
            <c:extLst>
              <c:ext xmlns:c16="http://schemas.microsoft.com/office/drawing/2014/chart" uri="{C3380CC4-5D6E-409C-BE32-E72D297353CC}">
                <c16:uniqueId val="{00000011-1B4A-42EB-9BFD-FA0B66023D1C}"/>
              </c:ext>
            </c:extLst>
          </c:dPt>
          <c:dPt>
            <c:idx val="12"/>
            <c:bubble3D val="0"/>
            <c:extLst>
              <c:ext xmlns:c16="http://schemas.microsoft.com/office/drawing/2014/chart" uri="{C3380CC4-5D6E-409C-BE32-E72D297353CC}">
                <c16:uniqueId val="{00000012-1B4A-42EB-9BFD-FA0B66023D1C}"/>
              </c:ext>
            </c:extLst>
          </c:dPt>
          <c:dPt>
            <c:idx val="13"/>
            <c:bubble3D val="0"/>
            <c:extLst>
              <c:ext xmlns:c16="http://schemas.microsoft.com/office/drawing/2014/chart" uri="{C3380CC4-5D6E-409C-BE32-E72D297353CC}">
                <c16:uniqueId val="{00000013-1B4A-42EB-9BFD-FA0B66023D1C}"/>
              </c:ext>
            </c:extLst>
          </c:dPt>
          <c:dPt>
            <c:idx val="14"/>
            <c:bubble3D val="0"/>
            <c:extLst>
              <c:ext xmlns:c16="http://schemas.microsoft.com/office/drawing/2014/chart" uri="{C3380CC4-5D6E-409C-BE32-E72D297353CC}">
                <c16:uniqueId val="{00000014-1B4A-42EB-9BFD-FA0B66023D1C}"/>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1B4A-42EB-9BFD-FA0B66023D1C}"/>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1B4A-42EB-9BFD-FA0B66023D1C}"/>
                </c:ext>
              </c:extLst>
            </c:dLbl>
            <c:dLbl>
              <c:idx val="3"/>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7-1B4A-42EB-9BFD-FA0B66023D1C}"/>
                </c:ext>
              </c:extLst>
            </c:dLbl>
            <c:dLbl>
              <c:idx val="5"/>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B-1B4A-42EB-9BFD-FA0B66023D1C}"/>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numRef>
              <c:f>'📺 Suscripciones'!$C$9:$C$23</c:f>
              <c:numCache>
                <c:formatCode>General</c:formatCode>
                <c:ptCount val="15"/>
              </c:numCache>
            </c:numRef>
          </c:cat>
          <c:val>
            <c:numRef>
              <c:f>'📺 Suscripciones'!$E$9:$E$23</c:f>
              <c:numCache>
                <c:formatCode>#,##0.00;\(#,##0.00\);\—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15-1B4A-42EB-9BFD-FA0B66023D1C}"/>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Cuánto pagás cada día del mes</a:t>
            </a:r>
          </a:p>
        </c:rich>
      </c:tx>
      <c:overlay val="0"/>
    </c:title>
    <c:autoTitleDeleted val="0"/>
    <c:plotArea>
      <c:layout/>
      <c:barChart>
        <c:barDir val="col"/>
        <c:grouping val="clustered"/>
        <c:varyColors val="1"/>
        <c:ser>
          <c:idx val="0"/>
          <c:order val="0"/>
          <c:tx>
            <c:v>Pago del día</c:v>
          </c:tx>
          <c:spPr>
            <a:solidFill>
              <a:srgbClr val="1A3A52"/>
            </a:solidFill>
            <a:ln cmpd="sng">
              <a:solidFill>
                <a:srgbClr val="000000"/>
              </a:solidFill>
            </a:ln>
          </c:spPr>
          <c:invertIfNegative val="1"/>
          <c:dLbls>
            <c:numFmt formatCode="#,##0" sourceLinked="0"/>
            <c:spPr>
              <a:noFill/>
              <a:ln>
                <a:noFill/>
              </a:ln>
              <a:effectLst/>
            </c:spPr>
            <c:txPr>
              <a:bodyPr/>
              <a:lstStyle/>
              <a:p>
                <a:pPr lvl="0">
                  <a:defRPr sz="1100" b="1" i="0">
                    <a:solidFill>
                      <a:srgbClr val="000000"/>
                    </a:solidFill>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 Calendario'!$P$9:$P$39</c:f>
              <c:numCache>
                <c:formatCode>General</c:formatCode>
                <c:ptCount val="3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numCache>
            </c:numRef>
          </c:cat>
          <c:val>
            <c:numRef>
              <c:f>'📆 Calendario'!$Q$9:$Q$39</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6ECC-435D-8625-141CAB9D9E32}"/>
            </c:ext>
          </c:extLst>
        </c:ser>
        <c:dLbls>
          <c:showLegendKey val="0"/>
          <c:showVal val="0"/>
          <c:showCatName val="0"/>
          <c:showSerName val="0"/>
          <c:showPercent val="0"/>
          <c:showBubbleSize val="0"/>
        </c:dLbls>
        <c:gapWidth val="150"/>
        <c:axId val="1587971231"/>
        <c:axId val="1553035601"/>
      </c:barChart>
      <c:catAx>
        <c:axId val="1587971231"/>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553035601"/>
        <c:crosses val="autoZero"/>
        <c:auto val="1"/>
        <c:lblAlgn val="ctr"/>
        <c:lblOffset val="100"/>
        <c:noMultiLvlLbl val="1"/>
      </c:catAx>
      <c:valAx>
        <c:axId val="155303560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587971231"/>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Octubre!$C$21:$C$30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Octubre!$F$21:$F$30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Octubre!$C$35:$C$44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Octubre!$F$35:$F$44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Octubre!$Y$3:$Y$5</c:f>
              <c:strCache>
                <c:ptCount val="3"/>
                <c:pt idx="0">
                  <c:v>Ingresos</c:v>
                </c:pt>
                <c:pt idx="1">
                  <c:v>Esenciales</c:v>
                </c:pt>
                <c:pt idx="2">
                  <c:v>No Esenciales</c:v>
                </c:pt>
              </c:strCache>
            </c:strRef>
          </c:cat>
          <c:val>
            <c:numRef>
              <c:f>Octubre!$Z$3:$Z$5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Octubre!$Y$3:$Y$5</c:f>
              <c:strCache>
                <c:ptCount val="3"/>
                <c:pt idx="0">
                  <c:v>Ingresos</c:v>
                </c:pt>
                <c:pt idx="1">
                  <c:v>Esenciales</c:v>
                </c:pt>
                <c:pt idx="2">
                  <c:v>No Esenciales</c:v>
                </c:pt>
              </c:strCache>
            </c:strRef>
          </c:cat>
          <c:val>
            <c:numRef>
              <c:f>Octubre!$AA$3:$AA$5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Octubre!$C$11:$C$16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Octubre!$F$11:$F$16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Deudas pendientes</a:t>
            </a:r>
          </a:p>
        </c:rich>
      </c:tx>
      <c:overlay val="0"/>
    </c:title>
    <c:autoTitleDeleted val="0"/>
    <c:plotArea>
      <c:layout/>
      <c:barChart>
        <c:barDir val="bar"/>
        <c:grouping val="clustered"/>
        <c:varyColors val="1"/>
        <c:ser>
          <c:idx val="0"/>
          <c:order val="0"/>
          <c:tx>
            <c:v>Pendiente</c:v>
          </c:tx>
          <c:spPr>
            <a:solidFill>
              <a:srgbClr val="3B82F6"/>
            </a:solidFill>
            <a:ln cmpd="sng">
              <a:solidFill>
                <a:srgbClr val="000000"/>
              </a:solidFill>
            </a:ln>
          </c:spPr>
          <c:invertIfNegative val="1"/>
          <c:dPt>
            <c:idx val="0"/>
            <c:invertIfNegative val="1"/>
            <c:bubble3D val="0"/>
            <c:spPr>
              <a:solidFill>
                <a:srgbClr val="EC4899"/>
              </a:solidFill>
              <a:ln cmpd="sng">
                <a:solidFill>
                  <a:srgbClr val="000000"/>
                </a:solidFill>
              </a:ln>
            </c:spPr>
            <c:extLst>
              <c:ext xmlns:c16="http://schemas.microsoft.com/office/drawing/2014/chart" uri="{C3380CC4-5D6E-409C-BE32-E72D297353CC}">
                <c16:uniqueId val="{00000001-C049-4033-882B-59F1C679576A}"/>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C049-4033-882B-59F1C679576A}"/>
              </c:ext>
            </c:extLst>
          </c:dPt>
          <c:dPt>
            <c:idx val="2"/>
            <c:invertIfNegative val="1"/>
            <c:bubble3D val="0"/>
            <c:spPr>
              <a:solidFill>
                <a:srgbClr val="F59E0B"/>
              </a:solidFill>
              <a:ln cmpd="sng">
                <a:solidFill>
                  <a:srgbClr val="000000"/>
                </a:solidFill>
              </a:ln>
            </c:spPr>
            <c:extLst>
              <c:ext xmlns:c16="http://schemas.microsoft.com/office/drawing/2014/chart" uri="{C3380CC4-5D6E-409C-BE32-E72D297353CC}">
                <c16:uniqueId val="{00000005-C049-4033-882B-59F1C679576A}"/>
              </c:ext>
            </c:extLst>
          </c:dPt>
          <c:dPt>
            <c:idx val="3"/>
            <c:invertIfNegative val="1"/>
            <c:bubble3D val="0"/>
            <c:spPr>
              <a:solidFill>
                <a:srgbClr val="F59E0B"/>
              </a:solidFill>
              <a:ln cmpd="sng">
                <a:solidFill>
                  <a:srgbClr val="000000"/>
                </a:solidFill>
              </a:ln>
            </c:spPr>
            <c:extLst>
              <c:ext xmlns:c16="http://schemas.microsoft.com/office/drawing/2014/chart" uri="{C3380CC4-5D6E-409C-BE32-E72D297353CC}">
                <c16:uniqueId val="{00000007-C049-4033-882B-59F1C679576A}"/>
              </c:ext>
            </c:extLst>
          </c:dPt>
          <c:dPt>
            <c:idx val="4"/>
            <c:invertIfNegative val="1"/>
            <c:bubble3D val="0"/>
            <c:spPr>
              <a:solidFill>
                <a:srgbClr val="FFCA2B"/>
              </a:solidFill>
              <a:ln cmpd="sng">
                <a:solidFill>
                  <a:srgbClr val="000000"/>
                </a:solidFill>
              </a:ln>
            </c:spPr>
            <c:extLst>
              <c:ext xmlns:c16="http://schemas.microsoft.com/office/drawing/2014/chart" uri="{C3380CC4-5D6E-409C-BE32-E72D297353CC}">
                <c16:uniqueId val="{00000009-C049-4033-882B-59F1C679576A}"/>
              </c:ext>
            </c:extLst>
          </c:dPt>
          <c:dPt>
            <c:idx val="5"/>
            <c:invertIfNegative val="1"/>
            <c:bubble3D val="0"/>
            <c:spPr>
              <a:solidFill>
                <a:srgbClr val="EC4899"/>
              </a:solidFill>
              <a:ln cmpd="sng">
                <a:solidFill>
                  <a:srgbClr val="000000"/>
                </a:solidFill>
              </a:ln>
            </c:spPr>
            <c:extLst>
              <c:ext xmlns:c16="http://schemas.microsoft.com/office/drawing/2014/chart" uri="{C3380CC4-5D6E-409C-BE32-E72D297353CC}">
                <c16:uniqueId val="{0000000B-C049-4033-882B-59F1C679576A}"/>
              </c:ext>
            </c:extLst>
          </c:dPt>
          <c:dPt>
            <c:idx val="6"/>
            <c:invertIfNegative val="1"/>
            <c:bubble3D val="0"/>
            <c:spPr>
              <a:solidFill>
                <a:srgbClr val="CD0046"/>
              </a:solidFill>
              <a:ln cmpd="sng">
                <a:solidFill>
                  <a:srgbClr val="000000"/>
                </a:solidFill>
              </a:ln>
            </c:spPr>
            <c:extLst>
              <c:ext xmlns:c16="http://schemas.microsoft.com/office/drawing/2014/chart" uri="{C3380CC4-5D6E-409C-BE32-E72D297353CC}">
                <c16:uniqueId val="{0000000D-C049-4033-882B-59F1C679576A}"/>
              </c:ext>
            </c:extLst>
          </c:dPt>
          <c:dPt>
            <c:idx val="7"/>
            <c:invertIfNegative val="1"/>
            <c:bubble3D val="0"/>
            <c:spPr>
              <a:solidFill>
                <a:srgbClr val="F59E0B"/>
              </a:solidFill>
              <a:ln cmpd="sng">
                <a:solidFill>
                  <a:srgbClr val="000000"/>
                </a:solidFill>
              </a:ln>
            </c:spPr>
            <c:extLst>
              <c:ext xmlns:c16="http://schemas.microsoft.com/office/drawing/2014/chart" uri="{C3380CC4-5D6E-409C-BE32-E72D297353CC}">
                <c16:uniqueId val="{0000000F-C049-4033-882B-59F1C679576A}"/>
              </c:ext>
            </c:extLst>
          </c:dPt>
          <c:dPt>
            <c:idx val="8"/>
            <c:invertIfNegative val="1"/>
            <c:bubble3D val="0"/>
            <c:spPr>
              <a:solidFill>
                <a:srgbClr val="F59E0B"/>
              </a:solidFill>
              <a:ln cmpd="sng">
                <a:solidFill>
                  <a:srgbClr val="000000"/>
                </a:solidFill>
              </a:ln>
            </c:spPr>
            <c:extLst>
              <c:ext xmlns:c16="http://schemas.microsoft.com/office/drawing/2014/chart" uri="{C3380CC4-5D6E-409C-BE32-E72D297353CC}">
                <c16:uniqueId val="{00000011-C049-4033-882B-59F1C679576A}"/>
              </c:ext>
            </c:extLst>
          </c:dPt>
          <c:cat>
            <c:numRef>
              <c:f>'💳 Deudas'!$C$9:$C$17</c:f>
              <c:numCache>
                <c:formatCode>General</c:formatCode>
                <c:ptCount val="9"/>
              </c:numCache>
            </c:numRef>
          </c:cat>
          <c:val>
            <c:numRef>
              <c:f>'💳 Deudas'!$E$9:$E$17</c:f>
              <c:numCache>
                <c:formatCode>#,##0.00;\(#,##0.00\);\—</c:formatCode>
                <c:ptCount val="9"/>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2-C049-4033-882B-59F1C679576A}"/>
            </c:ext>
          </c:extLst>
        </c:ser>
        <c:dLbls>
          <c:showLegendKey val="0"/>
          <c:showVal val="0"/>
          <c:showCatName val="0"/>
          <c:showSerName val="0"/>
          <c:showPercent val="0"/>
          <c:showBubbleSize val="0"/>
        </c:dLbls>
        <c:gapWidth val="150"/>
        <c:axId val="1738322537"/>
        <c:axId val="497419384"/>
      </c:barChart>
      <c:catAx>
        <c:axId val="1738322537"/>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497419384"/>
        <c:crosses val="autoZero"/>
        <c:auto val="1"/>
        <c:lblAlgn val="ctr"/>
        <c:lblOffset val="100"/>
        <c:noMultiLvlLbl val="1"/>
      </c:catAx>
      <c:valAx>
        <c:axId val="497419384"/>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738322537"/>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Noviembre!$C$21:$C$30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Noviembre!$F$21:$F$30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Noviembre!$C$35:$C$44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Noviembre!$F$35:$F$44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Noviembre!$Y$3:$Y$5</c:f>
              <c:strCache>
                <c:ptCount val="3"/>
                <c:pt idx="0">
                  <c:v>Ingresos</c:v>
                </c:pt>
                <c:pt idx="1">
                  <c:v>Esenciales</c:v>
                </c:pt>
                <c:pt idx="2">
                  <c:v>No Esenciales</c:v>
                </c:pt>
              </c:strCache>
            </c:strRef>
          </c:cat>
          <c:val>
            <c:numRef>
              <c:f>Noviembre!$Z$3:$Z$5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Noviembre!$Y$3:$Y$5</c:f>
              <c:strCache>
                <c:ptCount val="3"/>
                <c:pt idx="0">
                  <c:v>Ingresos</c:v>
                </c:pt>
                <c:pt idx="1">
                  <c:v>Esenciales</c:v>
                </c:pt>
                <c:pt idx="2">
                  <c:v>No Esenciales</c:v>
                </c:pt>
              </c:strCache>
            </c:strRef>
          </c:cat>
          <c:val>
            <c:numRef>
              <c:f>Noviembre!$AA$3:$AA$5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Noviembre!$C$11:$C$16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Noviembre!$F$11:$F$16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Diciembre!$C$21:$C$30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Diciembre!$F$21:$F$30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Diciembre!$C$35:$C$44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Diciembre!$F$35:$F$44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Diciembre!$Y$3:$Y$5</c:f>
              <c:strCache>
                <c:ptCount val="3"/>
                <c:pt idx="0">
                  <c:v>Ingresos</c:v>
                </c:pt>
                <c:pt idx="1">
                  <c:v>Esenciales</c:v>
                </c:pt>
                <c:pt idx="2">
                  <c:v>No Esenciales</c:v>
                </c:pt>
              </c:strCache>
            </c:strRef>
          </c:cat>
          <c:val>
            <c:numRef>
              <c:f>Diciembre!$Z$3:$Z$5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Diciembre!$Y$3:$Y$5</c:f>
              <c:strCache>
                <c:ptCount val="3"/>
                <c:pt idx="0">
                  <c:v>Ingresos</c:v>
                </c:pt>
                <c:pt idx="1">
                  <c:v>Esenciales</c:v>
                </c:pt>
                <c:pt idx="2">
                  <c:v>No Esenciales</c:v>
                </c:pt>
              </c:strCache>
            </c:strRef>
          </c:cat>
          <c:val>
            <c:numRef>
              <c:f>Diciembre!$AA$3:$AA$5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Diciembre!$C$11:$C$16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Diciembre!$F$11:$F$16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Enero!$C$21:$C$30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Enero!$F$21:$F$30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Enero!$C$35:$C$44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Enero!$F$35:$F$44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Enero!$Y$3:$Y$5</c:f>
              <c:strCache>
                <c:ptCount val="3"/>
                <c:pt idx="0">
                  <c:v>Ingresos</c:v>
                </c:pt>
                <c:pt idx="1">
                  <c:v>Esenciales</c:v>
                </c:pt>
                <c:pt idx="2">
                  <c:v>No Esenciales</c:v>
                </c:pt>
              </c:strCache>
            </c:strRef>
          </c:cat>
          <c:val>
            <c:numRef>
              <c:f>Enero!$Z$3:$Z$5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Enero!$Y$3:$Y$5</c:f>
              <c:strCache>
                <c:ptCount val="3"/>
                <c:pt idx="0">
                  <c:v>Ingresos</c:v>
                </c:pt>
                <c:pt idx="1">
                  <c:v>Esenciales</c:v>
                </c:pt>
                <c:pt idx="2">
                  <c:v>No Esenciales</c:v>
                </c:pt>
              </c:strCache>
            </c:strRef>
          </c:cat>
          <c:val>
            <c:numRef>
              <c:f>Enero!$AA$3:$AA$5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Enero!$C$11:$C$16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Enero!$F$11:$F$16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Febrero!$C$21:$C$30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Febrero!$F$21:$F$30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Febrero!$C$35:$C$44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Febrero!$F$35:$F$44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Febrero!$Y$3:$Y$5</c:f>
              <c:strCache>
                <c:ptCount val="3"/>
                <c:pt idx="0">
                  <c:v>Ingresos</c:v>
                </c:pt>
                <c:pt idx="1">
                  <c:v>Esenciales</c:v>
                </c:pt>
                <c:pt idx="2">
                  <c:v>No Esenciales</c:v>
                </c:pt>
              </c:strCache>
            </c:strRef>
          </c:cat>
          <c:val>
            <c:numRef>
              <c:f>Febrero!$Z$3:$Z$5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Febrero!$Y$3:$Y$5</c:f>
              <c:strCache>
                <c:ptCount val="3"/>
                <c:pt idx="0">
                  <c:v>Ingresos</c:v>
                </c:pt>
                <c:pt idx="1">
                  <c:v>Esenciales</c:v>
                </c:pt>
                <c:pt idx="2">
                  <c:v>No Esenciales</c:v>
                </c:pt>
              </c:strCache>
            </c:strRef>
          </c:cat>
          <c:val>
            <c:numRef>
              <c:f>Febrero!$AA$3:$AA$5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Febrero!$C$11:$C$16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Febrero!$F$11:$F$16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Marzo!$C$21:$C$30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Marzo!$F$21:$F$30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Marzo!$C$35:$C$44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Marzo!$F$35:$F$44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Marzo!$Y$3:$Y$5</c:f>
              <c:strCache>
                <c:ptCount val="3"/>
                <c:pt idx="0">
                  <c:v>Ingresos</c:v>
                </c:pt>
                <c:pt idx="1">
                  <c:v>Esenciales</c:v>
                </c:pt>
                <c:pt idx="2">
                  <c:v>No Esenciales</c:v>
                </c:pt>
              </c:strCache>
            </c:strRef>
          </c:cat>
          <c:val>
            <c:numRef>
              <c:f>Marzo!$Z$3:$Z$5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Marzo!$Y$3:$Y$5</c:f>
              <c:strCache>
                <c:ptCount val="3"/>
                <c:pt idx="0">
                  <c:v>Ingresos</c:v>
                </c:pt>
                <c:pt idx="1">
                  <c:v>Esenciales</c:v>
                </c:pt>
                <c:pt idx="2">
                  <c:v>No Esenciales</c:v>
                </c:pt>
              </c:strCache>
            </c:strRef>
          </c:cat>
          <c:val>
            <c:numRef>
              <c:f>Marzo!$AA$3:$AA$5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Marzo!$C$11:$C$16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Marzo!$F$11:$F$16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Abril!$C$21:$C$30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Abril!$F$21:$F$30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Abril!$C$35:$C$44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Abril!$F$35:$F$44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Abril!$Y$3:$Y$5</c:f>
              <c:strCache>
                <c:ptCount val="3"/>
                <c:pt idx="0">
                  <c:v>Ingresos</c:v>
                </c:pt>
                <c:pt idx="1">
                  <c:v>Esenciales</c:v>
                </c:pt>
                <c:pt idx="2">
                  <c:v>No Esenciales</c:v>
                </c:pt>
              </c:strCache>
            </c:strRef>
          </c:cat>
          <c:val>
            <c:numRef>
              <c:f>Abril!$Z$3:$Z$5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Abril!$Y$3:$Y$5</c:f>
              <c:strCache>
                <c:ptCount val="3"/>
                <c:pt idx="0">
                  <c:v>Ingresos</c:v>
                </c:pt>
                <c:pt idx="1">
                  <c:v>Esenciales</c:v>
                </c:pt>
                <c:pt idx="2">
                  <c:v>No Esenciales</c:v>
                </c:pt>
              </c:strCache>
            </c:strRef>
          </c:cat>
          <c:val>
            <c:numRef>
              <c:f>Abril!$AA$3:$AA$5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Abril!$C$11:$C$16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Abril!$F$11:$F$16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Mayo!$C$21:$C$30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Mayo!$F$21:$F$30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Mayo!$C$35:$C$44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Mayo!$F$35:$F$44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Mayo!$Y$3:$Y$5</c:f>
              <c:strCache>
                <c:ptCount val="3"/>
                <c:pt idx="0">
                  <c:v>Ingresos</c:v>
                </c:pt>
                <c:pt idx="1">
                  <c:v>Esenciales</c:v>
                </c:pt>
                <c:pt idx="2">
                  <c:v>No Esenciales</c:v>
                </c:pt>
              </c:strCache>
            </c:strRef>
          </c:cat>
          <c:val>
            <c:numRef>
              <c:f>Mayo!$Z$3:$Z$5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Mayo!$Y$3:$Y$5</c:f>
              <c:strCache>
                <c:ptCount val="3"/>
                <c:pt idx="0">
                  <c:v>Ingresos</c:v>
                </c:pt>
                <c:pt idx="1">
                  <c:v>Esenciales</c:v>
                </c:pt>
                <c:pt idx="2">
                  <c:v>No Esenciales</c:v>
                </c:pt>
              </c:strCache>
            </c:strRef>
          </c:cat>
          <c:val>
            <c:numRef>
              <c:f>Mayo!$AA$3:$AA$5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Mayo!$C$11:$C$16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Mayo!$F$11:$F$16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Junio!$C$21:$C$30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Junio!$F$21:$F$30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Junio!$C$35:$C$44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Junio!$F$35:$F$44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Junio!$Y$3:$Y$5</c:f>
              <c:strCache>
                <c:ptCount val="3"/>
                <c:pt idx="0">
                  <c:v>Ingresos</c:v>
                </c:pt>
                <c:pt idx="1">
                  <c:v>Esenciales</c:v>
                </c:pt>
                <c:pt idx="2">
                  <c:v>No Esenciales</c:v>
                </c:pt>
              </c:strCache>
            </c:strRef>
          </c:cat>
          <c:val>
            <c:numRef>
              <c:f>Junio!$Z$3:$Z$5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Junio!$Y$3:$Y$5</c:f>
              <c:strCache>
                <c:ptCount val="3"/>
                <c:pt idx="0">
                  <c:v>Ingresos</c:v>
                </c:pt>
                <c:pt idx="1">
                  <c:v>Esenciales</c:v>
                </c:pt>
                <c:pt idx="2">
                  <c:v>No Esenciales</c:v>
                </c:pt>
              </c:strCache>
            </c:strRef>
          </c:cat>
          <c:val>
            <c:numRef>
              <c:f>Junio!$AA$3:$AA$5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Junio!$C$11:$C$16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Junio!$F$11:$F$16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Julio!$C$21:$C$30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Julio!$F$21:$F$30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Julio!$C$35:$C$44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Julio!$F$35:$F$44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Julio!$Y$3:$Y$5</c:f>
              <c:strCache>
                <c:ptCount val="3"/>
                <c:pt idx="0">
                  <c:v>Ingresos</c:v>
                </c:pt>
                <c:pt idx="1">
                  <c:v>Esenciales</c:v>
                </c:pt>
                <c:pt idx="2">
                  <c:v>No Esenciales</c:v>
                </c:pt>
              </c:strCache>
            </c:strRef>
          </c:cat>
          <c:val>
            <c:numRef>
              <c:f>Julio!$Z$3:$Z$5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Julio!$Y$3:$Y$5</c:f>
              <c:strCache>
                <c:ptCount val="3"/>
                <c:pt idx="0">
                  <c:v>Ingresos</c:v>
                </c:pt>
                <c:pt idx="1">
                  <c:v>Esenciales</c:v>
                </c:pt>
                <c:pt idx="2">
                  <c:v>No Esenciales</c:v>
                </c:pt>
              </c:strCache>
            </c:strRef>
          </c:cat>
          <c:val>
            <c:numRef>
              <c:f>Julio!$AA$3:$AA$5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Julio!$C$11:$C$16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Julio!$F$11:$F$16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Agosto!$C$21:$C$30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Agosto!$F$21:$F$30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Agosto!$C$35:$C$44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Agosto!$F$35:$F$44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Agosto!$Y$3:$Y$5</c:f>
              <c:strCache>
                <c:ptCount val="3"/>
                <c:pt idx="0">
                  <c:v>Ingresos</c:v>
                </c:pt>
                <c:pt idx="1">
                  <c:v>Esenciales</c:v>
                </c:pt>
                <c:pt idx="2">
                  <c:v>No Esenciales</c:v>
                </c:pt>
              </c:strCache>
            </c:strRef>
          </c:cat>
          <c:val>
            <c:numRef>
              <c:f>Agosto!$Z$3:$Z$5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Agosto!$Y$3:$Y$5</c:f>
              <c:strCache>
                <c:ptCount val="3"/>
                <c:pt idx="0">
                  <c:v>Ingresos</c:v>
                </c:pt>
                <c:pt idx="1">
                  <c:v>Esenciales</c:v>
                </c:pt>
                <c:pt idx="2">
                  <c:v>No Esenciales</c:v>
                </c:pt>
              </c:strCache>
            </c:strRef>
          </c:cat>
          <c:val>
            <c:numRef>
              <c:f>Agosto!$AA$3:$AA$5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Agosto!$C$11:$C$16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Agosto!$F$11:$F$16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Esenciales — Real</a:t>
            </a:r>
          </a:p>
        </c:rich>
      </c:tx>
      <c:overlay val="0"/>
    </c:title>
    <c:autoTitleDeleted val="0"/>
    <c:plotArea>
      <c:layout/>
      <c:doughnutChart>
        <c:varyColors val="1"/>
        <c:ser>
          <c:idx val="0"/>
          <c:order val="0"/>
          <c:dPt>
            <c:idx val="0"/>
            <c:bubble3D val="0"/>
            <c:spPr>
              <a:solidFill>
                <a:srgbClr val="1A3A52"/>
              </a:solidFill>
            </c:spPr>
            <c:extLst>
              <c:ext xmlns:c16="http://schemas.microsoft.com/office/drawing/2014/chart" uri="{C3380CC4-5D6E-409C-BE32-E72D297353CC}">
                <c16:uniqueId val="{00000001-E37C-4C67-A3EB-553D0728932D}"/>
              </c:ext>
            </c:extLst>
          </c:dPt>
          <c:dPt>
            <c:idx val="1"/>
            <c:bubble3D val="0"/>
            <c:spPr>
              <a:solidFill>
                <a:srgbClr val="CD0046"/>
              </a:solidFill>
            </c:spPr>
            <c:extLst>
              <c:ext xmlns:c16="http://schemas.microsoft.com/office/drawing/2014/chart" uri="{C3380CC4-5D6E-409C-BE32-E72D297353CC}">
                <c16:uniqueId val="{00000003-E37C-4C67-A3EB-553D0728932D}"/>
              </c:ext>
            </c:extLst>
          </c:dPt>
          <c:dPt>
            <c:idx val="2"/>
            <c:bubble3D val="0"/>
            <c:spPr>
              <a:solidFill>
                <a:srgbClr val="FFCA2B"/>
              </a:solidFill>
            </c:spPr>
            <c:extLst>
              <c:ext xmlns:c16="http://schemas.microsoft.com/office/drawing/2014/chart" uri="{C3380CC4-5D6E-409C-BE32-E72D297353CC}">
                <c16:uniqueId val="{00000005-E37C-4C67-A3EB-553D0728932D}"/>
              </c:ext>
            </c:extLst>
          </c:dPt>
          <c:dPt>
            <c:idx val="3"/>
            <c:bubble3D val="0"/>
            <c:spPr>
              <a:solidFill>
                <a:srgbClr val="8B5CF6"/>
              </a:solidFill>
            </c:spPr>
            <c:extLst>
              <c:ext xmlns:c16="http://schemas.microsoft.com/office/drawing/2014/chart" uri="{C3380CC4-5D6E-409C-BE32-E72D297353CC}">
                <c16:uniqueId val="{00000007-E37C-4C67-A3EB-553D0728932D}"/>
              </c:ext>
            </c:extLst>
          </c:dPt>
          <c:dPt>
            <c:idx val="4"/>
            <c:bubble3D val="0"/>
            <c:spPr>
              <a:solidFill>
                <a:srgbClr val="F59E0B"/>
              </a:solidFill>
            </c:spPr>
            <c:extLst>
              <c:ext xmlns:c16="http://schemas.microsoft.com/office/drawing/2014/chart" uri="{C3380CC4-5D6E-409C-BE32-E72D297353CC}">
                <c16:uniqueId val="{00000009-E37C-4C67-A3EB-553D0728932D}"/>
              </c:ext>
            </c:extLst>
          </c:dPt>
          <c:dPt>
            <c:idx val="5"/>
            <c:bubble3D val="0"/>
            <c:spPr>
              <a:solidFill>
                <a:srgbClr val="1A3A52"/>
              </a:solidFill>
            </c:spPr>
            <c:extLst>
              <c:ext xmlns:c16="http://schemas.microsoft.com/office/drawing/2014/chart" uri="{C3380CC4-5D6E-409C-BE32-E72D297353CC}">
                <c16:uniqueId val="{0000000B-E37C-4C67-A3EB-553D0728932D}"/>
              </c:ext>
            </c:extLst>
          </c:dPt>
          <c:dPt>
            <c:idx val="6"/>
            <c:bubble3D val="0"/>
            <c:spPr>
              <a:solidFill>
                <a:srgbClr val="CD0046"/>
              </a:solidFill>
            </c:spPr>
            <c:extLst>
              <c:ext xmlns:c16="http://schemas.microsoft.com/office/drawing/2014/chart" uri="{C3380CC4-5D6E-409C-BE32-E72D297353CC}">
                <c16:uniqueId val="{0000000D-E37C-4C67-A3EB-553D0728932D}"/>
              </c:ext>
            </c:extLst>
          </c:dPt>
          <c:dPt>
            <c:idx val="7"/>
            <c:bubble3D val="0"/>
            <c:spPr>
              <a:solidFill>
                <a:srgbClr val="3B82F6"/>
              </a:solidFill>
            </c:spPr>
            <c:extLst>
              <c:ext xmlns:c16="http://schemas.microsoft.com/office/drawing/2014/chart" uri="{C3380CC4-5D6E-409C-BE32-E72D297353CC}">
                <c16:uniqueId val="{0000000F-E37C-4C67-A3EB-553D0728932D}"/>
              </c:ext>
            </c:extLst>
          </c:dPt>
          <c:dPt>
            <c:idx val="8"/>
            <c:bubble3D val="0"/>
            <c:spPr>
              <a:solidFill>
                <a:srgbClr val="F59E0B"/>
              </a:solidFill>
            </c:spPr>
            <c:extLst>
              <c:ext xmlns:c16="http://schemas.microsoft.com/office/drawing/2014/chart" uri="{C3380CC4-5D6E-409C-BE32-E72D297353CC}">
                <c16:uniqueId val="{00000011-E37C-4C67-A3EB-553D0728932D}"/>
              </c:ext>
            </c:extLst>
          </c:dPt>
          <c:dPt>
            <c:idx val="9"/>
            <c:bubble3D val="0"/>
            <c:spPr>
              <a:solidFill>
                <a:srgbClr val="8B5CF6"/>
              </a:solidFill>
            </c:spPr>
            <c:extLst>
              <c:ext xmlns:c16="http://schemas.microsoft.com/office/drawing/2014/chart" uri="{C3380CC4-5D6E-409C-BE32-E72D297353CC}">
                <c16:uniqueId val="{00000013-E37C-4C67-A3EB-553D0728932D}"/>
              </c:ext>
            </c:extLst>
          </c:dPt>
          <c:dLbls>
            <c:dLbl>
              <c:idx val="0"/>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1-E37C-4C67-A3EB-553D0728932D}"/>
                </c:ext>
              </c:extLst>
            </c:dLbl>
            <c:dLbl>
              <c:idx val="1"/>
              <c:spPr/>
              <c:txPr>
                <a:bodyPr/>
                <a:lstStyle/>
                <a:p>
                  <a:pPr lvl="0">
                    <a:defRPr>
                      <a:solidFill>
                        <a:srgbClr val="FFFFFF"/>
                      </a:solidFill>
                    </a:defRPr>
                  </a:pPr>
                  <a:endParaRPr lang="es-AR"/>
                </a:p>
              </c:txPr>
              <c:showLegendKey val="0"/>
              <c:showVal val="0"/>
              <c:showCatName val="0"/>
              <c:showSerName val="0"/>
              <c:showPercent val="1"/>
              <c:showBubbleSize val="0"/>
              <c:extLst>
                <c:ext xmlns:c16="http://schemas.microsoft.com/office/drawing/2014/chart" uri="{C3380CC4-5D6E-409C-BE32-E72D297353CC}">
                  <c16:uniqueId val="{00000003-E37C-4C67-A3EB-553D0728932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Septiembre!$C$21:$C$30</c:f>
              <c:strCache>
                <c:ptCount val="10"/>
                <c:pt idx="0">
                  <c:v>🏠  Hogar (alquiler, expensas)</c:v>
                </c:pt>
                <c:pt idx="1">
                  <c:v>🍽️  Alimentación / Mercado</c:v>
                </c:pt>
                <c:pt idx="2">
                  <c:v>💡  Servicios (luz, gas, agua)</c:v>
                </c:pt>
                <c:pt idx="3">
                  <c:v>📶  Internet y Celular</c:v>
                </c:pt>
                <c:pt idx="4">
                  <c:v>🚗  Transporte / Combustible</c:v>
                </c:pt>
                <c:pt idx="5">
                  <c:v>🏥  Salud / Prepaga / Farmacia</c:v>
                </c:pt>
                <c:pt idx="6">
                  <c:v>📚  Educación</c:v>
                </c:pt>
                <c:pt idx="7">
                  <c:v>🛡️  Seguros</c:v>
                </c:pt>
                <c:pt idx="8">
                  <c:v>💼  Impuestos</c:v>
                </c:pt>
                <c:pt idx="9">
                  <c:v>🐾  Mascotas</c:v>
                </c:pt>
              </c:strCache>
            </c:strRef>
          </c:cat>
          <c:val>
            <c:numRef>
              <c:f>Septiembre!$F$21:$F$30</c:f>
              <c:numCache>
                <c:formatCode>#,##0.00;\(#,##0.00\);\—</c:formatCode>
                <c:ptCount val="10"/>
              </c:numCache>
            </c:numRef>
          </c:val>
          <c:extLst>
            <c:ext xmlns:c16="http://schemas.microsoft.com/office/drawing/2014/chart" uri="{C3380CC4-5D6E-409C-BE32-E72D297353CC}">
              <c16:uniqueId val="{00000014-E37C-4C67-A3EB-553D0728932D}"/>
            </c:ext>
          </c:extLst>
        </c:ser>
        <c:dLbls>
          <c:showLegendKey val="0"/>
          <c:showVal val="0"/>
          <c:showCatName val="0"/>
          <c:showSerName val="0"/>
          <c:showPercent val="0"/>
          <c:showBubbleSize val="0"/>
          <c:showLeaderLines val="1"/>
        </c:dLbls>
        <c:firstSliceAng val="0"/>
        <c:holeSize val="50"/>
      </c:doughnutChart>
      <c:spPr>
        <a:solidFill>
          <a:srgbClr val="FFFFFF"/>
        </a:solidFill>
      </c:spPr>
    </c:plotArea>
    <c:legend>
      <c:legendPos val="r"/>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Gastos No Esenciales — Real</a:t>
            </a:r>
          </a:p>
        </c:rich>
      </c:tx>
      <c:overlay val="0"/>
    </c:title>
    <c:autoTitleDeleted val="0"/>
    <c:plotArea>
      <c:layout/>
      <c:barChart>
        <c:barDir val="bar"/>
        <c:grouping val="stacked"/>
        <c:varyColors val="1"/>
        <c:ser>
          <c:idx val="0"/>
          <c:order val="0"/>
          <c:spPr>
            <a:solidFill>
              <a:srgbClr val="3B82F6"/>
            </a:solidFill>
            <a:ln cmpd="sng">
              <a:solidFill>
                <a:srgbClr val="000000"/>
              </a:solidFill>
            </a:ln>
          </c:spPr>
          <c:invertIfNegative val="1"/>
          <c:dPt>
            <c:idx val="0"/>
            <c:invertIfNegative val="1"/>
            <c:bubble3D val="0"/>
            <c:spPr>
              <a:solidFill>
                <a:srgbClr val="1A3A52"/>
              </a:solidFill>
              <a:ln cmpd="sng">
                <a:solidFill>
                  <a:srgbClr val="000000"/>
                </a:solidFill>
              </a:ln>
            </c:spPr>
            <c:extLst>
              <c:ext xmlns:c16="http://schemas.microsoft.com/office/drawing/2014/chart" uri="{C3380CC4-5D6E-409C-BE32-E72D297353CC}">
                <c16:uniqueId val="{00000001-8878-4AEB-8E57-A0ECF1E5219E}"/>
              </c:ext>
            </c:extLst>
          </c:dPt>
          <c:dPt>
            <c:idx val="1"/>
            <c:invertIfNegative val="1"/>
            <c:bubble3D val="0"/>
            <c:spPr>
              <a:solidFill>
                <a:srgbClr val="CD0046"/>
              </a:solidFill>
              <a:ln cmpd="sng">
                <a:solidFill>
                  <a:srgbClr val="000000"/>
                </a:solidFill>
              </a:ln>
            </c:spPr>
            <c:extLst>
              <c:ext xmlns:c16="http://schemas.microsoft.com/office/drawing/2014/chart" uri="{C3380CC4-5D6E-409C-BE32-E72D297353CC}">
                <c16:uniqueId val="{00000003-8878-4AEB-8E57-A0ECF1E5219E}"/>
              </c:ext>
            </c:extLst>
          </c:dPt>
          <c:dPt>
            <c:idx val="2"/>
            <c:invertIfNegative val="1"/>
            <c:bubble3D val="0"/>
            <c:spPr>
              <a:solidFill>
                <a:srgbClr val="1A3A52"/>
              </a:solidFill>
              <a:ln cmpd="sng">
                <a:solidFill>
                  <a:srgbClr val="000000"/>
                </a:solidFill>
              </a:ln>
            </c:spPr>
            <c:extLst>
              <c:ext xmlns:c16="http://schemas.microsoft.com/office/drawing/2014/chart" uri="{C3380CC4-5D6E-409C-BE32-E72D297353CC}">
                <c16:uniqueId val="{00000005-8878-4AEB-8E57-A0ECF1E5219E}"/>
              </c:ext>
            </c:extLst>
          </c:dPt>
          <c:dPt>
            <c:idx val="3"/>
            <c:invertIfNegative val="1"/>
            <c:bubble3D val="0"/>
            <c:spPr>
              <a:solidFill>
                <a:srgbClr val="8B5CF6"/>
              </a:solidFill>
              <a:ln cmpd="sng">
                <a:solidFill>
                  <a:srgbClr val="000000"/>
                </a:solidFill>
              </a:ln>
            </c:spPr>
            <c:extLst>
              <c:ext xmlns:c16="http://schemas.microsoft.com/office/drawing/2014/chart" uri="{C3380CC4-5D6E-409C-BE32-E72D297353CC}">
                <c16:uniqueId val="{00000007-8878-4AEB-8E57-A0ECF1E5219E}"/>
              </c:ext>
            </c:extLst>
          </c:dPt>
          <c:dPt>
            <c:idx val="4"/>
            <c:invertIfNegative val="1"/>
            <c:bubble3D val="0"/>
            <c:extLst>
              <c:ext xmlns:c16="http://schemas.microsoft.com/office/drawing/2014/chart" uri="{C3380CC4-5D6E-409C-BE32-E72D297353CC}">
                <c16:uniqueId val="{00000009-8878-4AEB-8E57-A0ECF1E5219E}"/>
              </c:ext>
            </c:extLst>
          </c:dPt>
          <c:dPt>
            <c:idx val="5"/>
            <c:invertIfNegative val="1"/>
            <c:bubble3D val="0"/>
            <c:spPr>
              <a:solidFill>
                <a:srgbClr val="F59E0B"/>
              </a:solidFill>
              <a:ln cmpd="sng">
                <a:solidFill>
                  <a:srgbClr val="000000"/>
                </a:solidFill>
              </a:ln>
            </c:spPr>
            <c:extLst>
              <c:ext xmlns:c16="http://schemas.microsoft.com/office/drawing/2014/chart" uri="{C3380CC4-5D6E-409C-BE32-E72D297353CC}">
                <c16:uniqueId val="{0000000B-8878-4AEB-8E57-A0ECF1E5219E}"/>
              </c:ext>
            </c:extLst>
          </c:dPt>
          <c:dPt>
            <c:idx val="6"/>
            <c:invertIfNegative val="1"/>
            <c:bubble3D val="0"/>
            <c:extLst>
              <c:ext xmlns:c16="http://schemas.microsoft.com/office/drawing/2014/chart" uri="{C3380CC4-5D6E-409C-BE32-E72D297353CC}">
                <c16:uniqueId val="{0000000D-8878-4AEB-8E57-A0ECF1E5219E}"/>
              </c:ext>
            </c:extLst>
          </c:dPt>
          <c:dPt>
            <c:idx val="7"/>
            <c:invertIfNegative val="1"/>
            <c:bubble3D val="0"/>
            <c:spPr>
              <a:solidFill>
                <a:srgbClr val="CD0046"/>
              </a:solidFill>
              <a:ln cmpd="sng">
                <a:solidFill>
                  <a:srgbClr val="000000"/>
                </a:solidFill>
              </a:ln>
            </c:spPr>
            <c:extLst>
              <c:ext xmlns:c16="http://schemas.microsoft.com/office/drawing/2014/chart" uri="{C3380CC4-5D6E-409C-BE32-E72D297353CC}">
                <c16:uniqueId val="{0000000F-8878-4AEB-8E57-A0ECF1E5219E}"/>
              </c:ext>
            </c:extLst>
          </c:dPt>
          <c:dPt>
            <c:idx val="8"/>
            <c:invertIfNegative val="1"/>
            <c:bubble3D val="0"/>
            <c:spPr>
              <a:solidFill>
                <a:srgbClr val="1A3A52"/>
              </a:solidFill>
              <a:ln cmpd="sng">
                <a:solidFill>
                  <a:srgbClr val="000000"/>
                </a:solidFill>
              </a:ln>
            </c:spPr>
            <c:extLst>
              <c:ext xmlns:c16="http://schemas.microsoft.com/office/drawing/2014/chart" uri="{C3380CC4-5D6E-409C-BE32-E72D297353CC}">
                <c16:uniqueId val="{00000011-8878-4AEB-8E57-A0ECF1E5219E}"/>
              </c:ext>
            </c:extLst>
          </c:dPt>
          <c:dPt>
            <c:idx val="9"/>
            <c:invertIfNegative val="1"/>
            <c:bubble3D val="0"/>
            <c:spPr>
              <a:solidFill>
                <a:srgbClr val="8B5CF6"/>
              </a:solidFill>
              <a:ln cmpd="sng">
                <a:solidFill>
                  <a:srgbClr val="000000"/>
                </a:solidFill>
              </a:ln>
            </c:spPr>
            <c:extLst>
              <c:ext xmlns:c16="http://schemas.microsoft.com/office/drawing/2014/chart" uri="{C3380CC4-5D6E-409C-BE32-E72D297353CC}">
                <c16:uniqueId val="{00000013-8878-4AEB-8E57-A0ECF1E5219E}"/>
              </c:ext>
            </c:extLst>
          </c:dPt>
          <c:cat>
            <c:strRef>
              <c:f>Septiembre!$C$35:$C$44</c:f>
              <c:strCache>
                <c:ptCount val="9"/>
                <c:pt idx="0">
                  <c:v>🍕  Salidas / Restaurantes</c:v>
                </c:pt>
                <c:pt idx="1">
                  <c:v>🎬  Ocio / Entretenimiento</c:v>
                </c:pt>
                <c:pt idx="2">
                  <c:v>💄  Cuidado personal / Belleza</c:v>
                </c:pt>
                <c:pt idx="3">
                  <c:v>👗  Ropa y Calzado</c:v>
                </c:pt>
                <c:pt idx="4">
                  <c:v>✈️  Viajes / Vacaciones</c:v>
                </c:pt>
                <c:pt idx="5">
                  <c:v>🎁  Regalos / Eventos</c:v>
                </c:pt>
                <c:pt idx="6">
                  <c:v>📺  Suscripciones</c:v>
                </c:pt>
                <c:pt idx="7">
                  <c:v>🏋️  Deporte / Gym</c:v>
                </c:pt>
                <c:pt idx="8">
                  <c:v>🛍️  Compras varias</c:v>
                </c:pt>
              </c:strCache>
            </c:strRef>
          </c:cat>
          <c:val>
            <c:numRef>
              <c:f>Septiembre!$F$35:$F$44</c:f>
              <c:numCache>
                <c:formatCode>#,##0.00;\(#,##0.00\);\—</c:formatCode>
                <c:ptCount val="10"/>
                <c:pt idx="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14-8878-4AEB-8E57-A0ECF1E5219E}"/>
            </c:ext>
          </c:extLst>
        </c:ser>
        <c:dLbls>
          <c:showLegendKey val="0"/>
          <c:showVal val="0"/>
          <c:showCatName val="0"/>
          <c:showSerName val="0"/>
          <c:showPercent val="0"/>
          <c:showBubbleSize val="0"/>
        </c:dLbls>
        <c:gapWidth val="150"/>
        <c:overlap val="100"/>
        <c:axId val="1048328564"/>
        <c:axId val="1323581275"/>
      </c:barChart>
      <c:catAx>
        <c:axId val="1048328564"/>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323581275"/>
        <c:crosses val="autoZero"/>
        <c:auto val="1"/>
        <c:lblAlgn val="ctr"/>
        <c:lblOffset val="100"/>
        <c:noMultiLvlLbl val="1"/>
      </c:catAx>
      <c:valAx>
        <c:axId val="1323581275"/>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8328564"/>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Presupuestado vs Real</a:t>
            </a:r>
          </a:p>
        </c:rich>
      </c:tx>
      <c:overlay val="0"/>
    </c:title>
    <c:autoTitleDeleted val="0"/>
    <c:plotArea>
      <c:layout/>
      <c:barChart>
        <c:barDir val="col"/>
        <c:grouping val="clustered"/>
        <c:varyColors val="1"/>
        <c:ser>
          <c:idx val="0"/>
          <c:order val="0"/>
          <c:tx>
            <c:v>Presupuestado</c:v>
          </c:tx>
          <c:spPr>
            <a:solidFill>
              <a:srgbClr val="1A3A52"/>
            </a:solidFill>
            <a:ln cmpd="sng">
              <a:solidFill>
                <a:srgbClr val="000000"/>
              </a:solidFill>
            </a:ln>
          </c:spPr>
          <c:invertIfNegative val="1"/>
          <c:cat>
            <c:strRef>
              <c:f>Septiembre!$Y$3:$Y$5</c:f>
              <c:strCache>
                <c:ptCount val="3"/>
                <c:pt idx="0">
                  <c:v>Ingresos</c:v>
                </c:pt>
                <c:pt idx="1">
                  <c:v>Esenciales</c:v>
                </c:pt>
                <c:pt idx="2">
                  <c:v>No Esenciales</c:v>
                </c:pt>
              </c:strCache>
            </c:strRef>
          </c:cat>
          <c:val>
            <c:numRef>
              <c:f>Septiembre!$Z$3:$Z$5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320-49FE-AD8D-EF63BA567F0E}"/>
            </c:ext>
          </c:extLst>
        </c:ser>
        <c:ser>
          <c:idx val="1"/>
          <c:order val="1"/>
          <c:tx>
            <c:v>Real</c:v>
          </c:tx>
          <c:spPr>
            <a:solidFill>
              <a:srgbClr val="CD0046"/>
            </a:solidFill>
            <a:ln cmpd="sng">
              <a:solidFill>
                <a:srgbClr val="000000"/>
              </a:solidFill>
            </a:ln>
          </c:spPr>
          <c:invertIfNegative val="1"/>
          <c:cat>
            <c:strRef>
              <c:f>Septiembre!$Y$3:$Y$5</c:f>
              <c:strCache>
                <c:ptCount val="3"/>
                <c:pt idx="0">
                  <c:v>Ingresos</c:v>
                </c:pt>
                <c:pt idx="1">
                  <c:v>Esenciales</c:v>
                </c:pt>
                <c:pt idx="2">
                  <c:v>No Esenciales</c:v>
                </c:pt>
              </c:strCache>
            </c:strRef>
          </c:cat>
          <c:val>
            <c:numRef>
              <c:f>Septiembre!$AA$3:$AA$5</c:f>
              <c:numCache>
                <c:formatCode>#,##0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320-49FE-AD8D-EF63BA567F0E}"/>
            </c:ext>
          </c:extLst>
        </c:ser>
        <c:dLbls>
          <c:showLegendKey val="0"/>
          <c:showVal val="0"/>
          <c:showCatName val="0"/>
          <c:showSerName val="0"/>
          <c:showPercent val="0"/>
          <c:showBubbleSize val="0"/>
        </c:dLbls>
        <c:gapWidth val="150"/>
        <c:axId val="657502013"/>
        <c:axId val="1714574994"/>
      </c:barChart>
      <c:catAx>
        <c:axId val="657502013"/>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1714574994"/>
        <c:crosses val="autoZero"/>
        <c:auto val="1"/>
        <c:lblAlgn val="ctr"/>
        <c:lblOffset val="100"/>
        <c:noMultiLvlLbl val="1"/>
      </c:catAx>
      <c:valAx>
        <c:axId val="171457499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657502013"/>
        <c:crosses val="autoZero"/>
        <c:crossBetween val="between"/>
      </c:valAx>
      <c:spPr>
        <a:solidFill>
          <a:srgbClr val="FFFFFF"/>
        </a:solidFill>
      </c:spPr>
    </c:plotArea>
    <c:legend>
      <c:legendPos val="b"/>
      <c:overlay val="0"/>
      <c:txPr>
        <a:bodyPr/>
        <a:lstStyle/>
        <a:p>
          <a:pPr lvl="0">
            <a:defRPr sz="1100" b="0" i="0">
              <a:solidFill>
                <a:srgbClr val="1A1A1A"/>
              </a:solidFill>
              <a:latin typeface="Inter"/>
            </a:defRPr>
          </a:pPr>
          <a:endParaRPr lang="es-AR"/>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300" b="1" i="0">
                <a:solidFill>
                  <a:srgbClr val="0E2F44"/>
                </a:solidFill>
                <a:latin typeface="Arial"/>
              </a:defRPr>
            </a:pPr>
            <a:r>
              <a:rPr sz="1300" b="1" i="0">
                <a:solidFill>
                  <a:srgbClr val="0E2F44"/>
                </a:solidFill>
                <a:latin typeface="Arial"/>
              </a:rPr>
              <a:t>💵 Ingresos del Mes</a:t>
            </a:r>
          </a:p>
        </c:rich>
      </c:tx>
      <c:overlay val="0"/>
    </c:title>
    <c:autoTitleDeleted val="0"/>
    <c:plotArea>
      <c:layout/>
      <c:lineChart>
        <c:grouping val="standard"/>
        <c:varyColors val="0"/>
        <c:ser>
          <c:idx val="0"/>
          <c:order val="0"/>
          <c:spPr>
            <a:ln w="19050" cmpd="sng">
              <a:solidFill>
                <a:srgbClr val="3B82F6">
                  <a:alpha val="100000"/>
                </a:srgbClr>
              </a:solidFill>
            </a:ln>
          </c:spPr>
          <c:marker>
            <c:symbol val="none"/>
          </c:marker>
          <c:dPt>
            <c:idx val="0"/>
            <c:bubble3D val="0"/>
            <c:extLst>
              <c:ext xmlns:c16="http://schemas.microsoft.com/office/drawing/2014/chart" uri="{C3380CC4-5D6E-409C-BE32-E72D297353CC}">
                <c16:uniqueId val="{00000000-CA12-408A-8964-BF81C426DCF2}"/>
              </c:ext>
            </c:extLst>
          </c:dPt>
          <c:dPt>
            <c:idx val="1"/>
            <c:bubble3D val="0"/>
            <c:extLst>
              <c:ext xmlns:c16="http://schemas.microsoft.com/office/drawing/2014/chart" uri="{C3380CC4-5D6E-409C-BE32-E72D297353CC}">
                <c16:uniqueId val="{00000001-CA12-408A-8964-BF81C426DCF2}"/>
              </c:ext>
            </c:extLst>
          </c:dPt>
          <c:dPt>
            <c:idx val="2"/>
            <c:bubble3D val="0"/>
            <c:extLst>
              <c:ext xmlns:c16="http://schemas.microsoft.com/office/drawing/2014/chart" uri="{C3380CC4-5D6E-409C-BE32-E72D297353CC}">
                <c16:uniqueId val="{00000002-CA12-408A-8964-BF81C426DCF2}"/>
              </c:ext>
            </c:extLst>
          </c:dPt>
          <c:dPt>
            <c:idx val="3"/>
            <c:bubble3D val="0"/>
            <c:extLst>
              <c:ext xmlns:c16="http://schemas.microsoft.com/office/drawing/2014/chart" uri="{C3380CC4-5D6E-409C-BE32-E72D297353CC}">
                <c16:uniqueId val="{00000003-CA12-408A-8964-BF81C426DCF2}"/>
              </c:ext>
            </c:extLst>
          </c:dPt>
          <c:dPt>
            <c:idx val="4"/>
            <c:bubble3D val="0"/>
            <c:extLst>
              <c:ext xmlns:c16="http://schemas.microsoft.com/office/drawing/2014/chart" uri="{C3380CC4-5D6E-409C-BE32-E72D297353CC}">
                <c16:uniqueId val="{00000004-CA12-408A-8964-BF81C426DCF2}"/>
              </c:ext>
            </c:extLst>
          </c:dPt>
          <c:dPt>
            <c:idx val="5"/>
            <c:bubble3D val="0"/>
            <c:extLst>
              <c:ext xmlns:c16="http://schemas.microsoft.com/office/drawing/2014/chart" uri="{C3380CC4-5D6E-409C-BE32-E72D297353CC}">
                <c16:uniqueId val="{00000005-CA12-408A-8964-BF81C426DCF2}"/>
              </c:ext>
            </c:extLst>
          </c:dPt>
          <c:cat>
            <c:strRef>
              <c:f>Septiembre!$C$11:$C$16</c:f>
              <c:strCache>
                <c:ptCount val="6"/>
                <c:pt idx="0">
                  <c:v>💼  Sueldo / Salario</c:v>
                </c:pt>
                <c:pt idx="1">
                  <c:v>💻  Freelance / Honorarios</c:v>
                </c:pt>
                <c:pt idx="2">
                  <c:v>🏪  Negocio propio</c:v>
                </c:pt>
                <c:pt idx="3">
                  <c:v>🎁  Regalos / Bonos</c:v>
                </c:pt>
                <c:pt idx="4">
                  <c:v>📈  Rendimientos / Intereses</c:v>
                </c:pt>
                <c:pt idx="5">
                  <c:v>💰  Otros ingresos</c:v>
                </c:pt>
              </c:strCache>
            </c:strRef>
          </c:cat>
          <c:val>
            <c:numRef>
              <c:f>Septiembre!$F$11:$F$16</c:f>
              <c:numCache>
                <c:formatCode>#,##0.00;\(#,##0.00\);\—</c:formatCode>
                <c:ptCount val="6"/>
              </c:numCache>
            </c:numRef>
          </c:val>
          <c:smooth val="1"/>
          <c:extLst>
            <c:ext xmlns:c16="http://schemas.microsoft.com/office/drawing/2014/chart" uri="{C3380CC4-5D6E-409C-BE32-E72D297353CC}">
              <c16:uniqueId val="{00000006-CA12-408A-8964-BF81C426DCF2}"/>
            </c:ext>
          </c:extLst>
        </c:ser>
        <c:dLbls>
          <c:showLegendKey val="0"/>
          <c:showVal val="0"/>
          <c:showCatName val="0"/>
          <c:showSerName val="0"/>
          <c:showPercent val="0"/>
          <c:showBubbleSize val="0"/>
        </c:dLbls>
        <c:smooth val="0"/>
        <c:axId val="1040728780"/>
        <c:axId val="2042269878"/>
      </c:lineChart>
      <c:catAx>
        <c:axId val="10407287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txPr>
          <a:bodyPr/>
          <a:lstStyle/>
          <a:p>
            <a:pPr lvl="0">
              <a:defRPr sz="1100" b="0" i="0">
                <a:solidFill>
                  <a:srgbClr val="000000"/>
                </a:solidFill>
                <a:latin typeface="Inter"/>
              </a:defRPr>
            </a:pPr>
            <a:endParaRPr lang="es-AR"/>
          </a:p>
        </c:txPr>
        <c:crossAx val="2042269878"/>
        <c:crosses val="autoZero"/>
        <c:auto val="1"/>
        <c:lblAlgn val="ctr"/>
        <c:lblOffset val="100"/>
        <c:noMultiLvlLbl val="1"/>
      </c:catAx>
      <c:valAx>
        <c:axId val="204226987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0"/>
        <c:majorTickMark val="none"/>
        <c:minorTickMark val="none"/>
        <c:tickLblPos val="nextTo"/>
        <c:spPr>
          <a:ln/>
        </c:spPr>
        <c:txPr>
          <a:bodyPr/>
          <a:lstStyle/>
          <a:p>
            <a:pPr lvl="0">
              <a:defRPr sz="1100" b="0" i="0">
                <a:solidFill>
                  <a:srgbClr val="000000"/>
                </a:solidFill>
                <a:latin typeface="Inter"/>
              </a:defRPr>
            </a:pPr>
            <a:endParaRPr lang="es-AR"/>
          </a:p>
        </c:txPr>
        <c:crossAx val="104072878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06.xml"/><Relationship Id="rId2" Type="http://schemas.openxmlformats.org/officeDocument/2006/relationships/chart" Target="../charts/chart105.xml"/><Relationship Id="rId1" Type="http://schemas.openxmlformats.org/officeDocument/2006/relationships/chart" Target="../charts/chart104.xml"/><Relationship Id="rId4" Type="http://schemas.openxmlformats.org/officeDocument/2006/relationships/chart" Target="../charts/chart10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10.xml"/><Relationship Id="rId2" Type="http://schemas.openxmlformats.org/officeDocument/2006/relationships/chart" Target="../charts/chart109.xml"/><Relationship Id="rId1" Type="http://schemas.openxmlformats.org/officeDocument/2006/relationships/chart" Target="../charts/chart108.xml"/><Relationship Id="rId4" Type="http://schemas.openxmlformats.org/officeDocument/2006/relationships/chart" Target="../charts/chart11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14.xml"/><Relationship Id="rId2" Type="http://schemas.openxmlformats.org/officeDocument/2006/relationships/chart" Target="../charts/chart113.xml"/><Relationship Id="rId1" Type="http://schemas.openxmlformats.org/officeDocument/2006/relationships/chart" Target="../charts/chart112.xml"/><Relationship Id="rId4" Type="http://schemas.openxmlformats.org/officeDocument/2006/relationships/chart" Target="../charts/chart11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8.xml"/><Relationship Id="rId2" Type="http://schemas.openxmlformats.org/officeDocument/2006/relationships/chart" Target="../charts/chart117.xml"/><Relationship Id="rId1" Type="http://schemas.openxmlformats.org/officeDocument/2006/relationships/chart" Target="../charts/chart116.xml"/><Relationship Id="rId4" Type="http://schemas.openxmlformats.org/officeDocument/2006/relationships/chart" Target="../charts/chart119.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22.xml"/><Relationship Id="rId2" Type="http://schemas.openxmlformats.org/officeDocument/2006/relationships/chart" Target="../charts/chart121.xml"/><Relationship Id="rId1" Type="http://schemas.openxmlformats.org/officeDocument/2006/relationships/chart" Target="../charts/chart120.xml"/><Relationship Id="rId4" Type="http://schemas.openxmlformats.org/officeDocument/2006/relationships/chart" Target="../charts/chart12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26.xml"/><Relationship Id="rId2" Type="http://schemas.openxmlformats.org/officeDocument/2006/relationships/chart" Target="../charts/chart125.xml"/><Relationship Id="rId1" Type="http://schemas.openxmlformats.org/officeDocument/2006/relationships/chart" Target="../charts/chart124.xml"/><Relationship Id="rId4" Type="http://schemas.openxmlformats.org/officeDocument/2006/relationships/chart" Target="../charts/chart127.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30.xml"/><Relationship Id="rId2" Type="http://schemas.openxmlformats.org/officeDocument/2006/relationships/chart" Target="../charts/chart129.xml"/><Relationship Id="rId1" Type="http://schemas.openxmlformats.org/officeDocument/2006/relationships/chart" Target="../charts/chart128.xml"/><Relationship Id="rId4" Type="http://schemas.openxmlformats.org/officeDocument/2006/relationships/chart" Target="../charts/chart131.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134.xml"/><Relationship Id="rId2" Type="http://schemas.openxmlformats.org/officeDocument/2006/relationships/chart" Target="../charts/chart133.xml"/><Relationship Id="rId1" Type="http://schemas.openxmlformats.org/officeDocument/2006/relationships/chart" Target="../charts/chart132.xml"/><Relationship Id="rId4" Type="http://schemas.openxmlformats.org/officeDocument/2006/relationships/chart" Target="../charts/chart135.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138.xml"/><Relationship Id="rId2" Type="http://schemas.openxmlformats.org/officeDocument/2006/relationships/chart" Target="../charts/chart137.xml"/><Relationship Id="rId1" Type="http://schemas.openxmlformats.org/officeDocument/2006/relationships/chart" Target="../charts/chart136.xml"/><Relationship Id="rId4" Type="http://schemas.openxmlformats.org/officeDocument/2006/relationships/chart" Target="../charts/chart139.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142.xml"/><Relationship Id="rId2" Type="http://schemas.openxmlformats.org/officeDocument/2006/relationships/chart" Target="../charts/chart141.xml"/><Relationship Id="rId1" Type="http://schemas.openxmlformats.org/officeDocument/2006/relationships/chart" Target="../charts/chart140.xml"/><Relationship Id="rId4" Type="http://schemas.openxmlformats.org/officeDocument/2006/relationships/chart" Target="../charts/chart143.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146.xml"/><Relationship Id="rId2" Type="http://schemas.openxmlformats.org/officeDocument/2006/relationships/chart" Target="../charts/chart145.xml"/><Relationship Id="rId1" Type="http://schemas.openxmlformats.org/officeDocument/2006/relationships/chart" Target="../charts/chart144.xml"/><Relationship Id="rId4" Type="http://schemas.openxmlformats.org/officeDocument/2006/relationships/chart" Target="../charts/chart147.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161925</xdr:rowOff>
    </xdr:from>
    <xdr:ext cx="2628900" cy="10191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22</xdr:col>
      <xdr:colOff>76200</xdr:colOff>
      <xdr:row>6</xdr:row>
      <xdr:rowOff>0</xdr:rowOff>
    </xdr:from>
    <xdr:ext cx="5476875" cy="4029075"/>
    <xdr:graphicFrame macro="">
      <xdr:nvGraphicFramePr>
        <xdr:cNvPr id="1826190723" name="Chart 9" title="Chart">
          <a:extLst>
            <a:ext uri="{FF2B5EF4-FFF2-40B4-BE49-F238E27FC236}">
              <a16:creationId xmlns:a16="http://schemas.microsoft.com/office/drawing/2014/main" id="{00000000-0008-0000-0200-00008375D9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104775</xdr:colOff>
      <xdr:row>7</xdr:row>
      <xdr:rowOff>0</xdr:rowOff>
    </xdr:from>
    <xdr:ext cx="7000875" cy="5219700"/>
    <xdr:graphicFrame macro="">
      <xdr:nvGraphicFramePr>
        <xdr:cNvPr id="1117440521" name="Chart 10" title="Chart">
          <a:extLst>
            <a:ext uri="{FF2B5EF4-FFF2-40B4-BE49-F238E27FC236}">
              <a16:creationId xmlns:a16="http://schemas.microsoft.com/office/drawing/2014/main" id="{00000000-0008-0000-0300-000009CA9A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57150</xdr:colOff>
      <xdr:row>6</xdr:row>
      <xdr:rowOff>247650</xdr:rowOff>
    </xdr:from>
    <xdr:ext cx="5057775" cy="4524375"/>
    <xdr:graphicFrame macro="">
      <xdr:nvGraphicFramePr>
        <xdr:cNvPr id="1665231982" name="Chart 11" title="Chart">
          <a:extLst>
            <a:ext uri="{FF2B5EF4-FFF2-40B4-BE49-F238E27FC236}">
              <a16:creationId xmlns:a16="http://schemas.microsoft.com/office/drawing/2014/main" id="{00000000-0008-0000-0400-00006E6C41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57150</xdr:colOff>
      <xdr:row>5</xdr:row>
      <xdr:rowOff>123825</xdr:rowOff>
    </xdr:from>
    <xdr:ext cx="8162925" cy="6029325"/>
    <xdr:graphicFrame macro="">
      <xdr:nvGraphicFramePr>
        <xdr:cNvPr id="1644167357" name="Chart 12" title="Chart">
          <a:extLst>
            <a:ext uri="{FF2B5EF4-FFF2-40B4-BE49-F238E27FC236}">
              <a16:creationId xmlns:a16="http://schemas.microsoft.com/office/drawing/2014/main" id="{00000000-0008-0000-0500-0000BD0000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7.xml><?xml version="1.0" encoding="utf-8"?>
<xdr:wsDr xmlns:xdr="http://schemas.openxmlformats.org/drawingml/2006/spreadsheetDrawing" xmlns:a="http://schemas.openxmlformats.org/drawingml/2006/main">
  <xdr:oneCellAnchor>
    <xdr:from>
      <xdr:col>10</xdr:col>
      <xdr:colOff>285750</xdr:colOff>
      <xdr:row>6</xdr:row>
      <xdr:rowOff>0</xdr:rowOff>
    </xdr:from>
    <xdr:ext cx="6010275" cy="4295775"/>
    <xdr:graphicFrame macro="">
      <xdr:nvGraphicFramePr>
        <xdr:cNvPr id="1578504849" name="Chart 71" title="Chart">
          <a:extLst>
            <a:ext uri="{FF2B5EF4-FFF2-40B4-BE49-F238E27FC236}">
              <a16:creationId xmlns:a16="http://schemas.microsoft.com/office/drawing/2014/main" id="{00000000-0008-0000-0700-0000911216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0.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1.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2.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3.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4.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6.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7.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18.xml><?xml version="1.0" encoding="utf-8"?>
<xdr:wsDr xmlns:xdr="http://schemas.openxmlformats.org/drawingml/2006/spreadsheetDrawing" xmlns:a="http://schemas.openxmlformats.org/drawingml/2006/main">
  <xdr:oneCellAnchor>
    <xdr:from>
      <xdr:col>8</xdr:col>
      <xdr:colOff>38100</xdr:colOff>
      <xdr:row>19</xdr:row>
      <xdr:rowOff>247650</xdr:rowOff>
    </xdr:from>
    <xdr:ext cx="3914775" cy="2686050"/>
    <xdr:graphicFrame macro="">
      <xdr:nvGraphicFramePr>
        <xdr:cNvPr id="1610437655" name="Chart 13" title="Chart">
          <a:extLst>
            <a:ext uri="{FF2B5EF4-FFF2-40B4-BE49-F238E27FC236}">
              <a16:creationId xmlns:a16="http://schemas.microsoft.com/office/drawing/2014/main" id="{00000000-0008-0000-0600-00001754F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38100</xdr:colOff>
      <xdr:row>33</xdr:row>
      <xdr:rowOff>19050</xdr:rowOff>
    </xdr:from>
    <xdr:ext cx="3914775" cy="2676525"/>
    <xdr:graphicFrame macro="">
      <xdr:nvGraphicFramePr>
        <xdr:cNvPr id="377139037" name="Chart 14" title="Chart">
          <a:extLst>
            <a:ext uri="{FF2B5EF4-FFF2-40B4-BE49-F238E27FC236}">
              <a16:creationId xmlns:a16="http://schemas.microsoft.com/office/drawing/2014/main" id="{00000000-0008-0000-0600-00005DAF7A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8</xdr:col>
      <xdr:colOff>161925</xdr:colOff>
      <xdr:row>54</xdr:row>
      <xdr:rowOff>0</xdr:rowOff>
    </xdr:from>
    <xdr:ext cx="3819525" cy="2695575"/>
    <xdr:graphicFrame macro="">
      <xdr:nvGraphicFramePr>
        <xdr:cNvPr id="1736768350" name="Chart 15" title="Chart">
          <a:extLst>
            <a:ext uri="{FF2B5EF4-FFF2-40B4-BE49-F238E27FC236}">
              <a16:creationId xmlns:a16="http://schemas.microsoft.com/office/drawing/2014/main" id="{00000000-0008-0000-0600-00005EFB84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38100</xdr:colOff>
      <xdr:row>8</xdr:row>
      <xdr:rowOff>180975</xdr:rowOff>
    </xdr:from>
    <xdr:ext cx="3914775" cy="2695575"/>
    <xdr:graphicFrame macro="">
      <xdr:nvGraphicFramePr>
        <xdr:cNvPr id="372740639" name="Chart 16" title="Chart">
          <a:extLst>
            <a:ext uri="{FF2B5EF4-FFF2-40B4-BE49-F238E27FC236}">
              <a16:creationId xmlns:a16="http://schemas.microsoft.com/office/drawing/2014/main" id="{00000000-0008-0000-0600-00001F923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a:ea typeface="Inter"/>
        <a:cs typeface="Inter"/>
      </a:majorFont>
      <a:minorFont>
        <a:latin typeface="Inter"/>
        <a:ea typeface="Inter"/>
        <a:cs typeface="Inter"/>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finanzasconshir.com" TargetMode="External"/><Relationship Id="rId9" Type="http://schemas.openxmlformats.org/officeDocument/2006/relationships/hyperlink" Target="https://finanzasconshir.com/planilla-presupuesto-2026?utm_source=planilla-light&amp;utm_medium=xlsx&amp;utm_campaign=upsel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A8C7E"/>
  </sheetPr>
  <dimension ref="A1:Z996"/>
  <sheetViews>
    <sheetView showGridLines="0" tabSelected="1" workbookViewId="0"/>
  </sheetViews>
  <sheetFormatPr baseColWidth="10" defaultColWidth="12.59765625" defaultRowHeight="15" customHeight="1"/>
  <cols>
    <col min="1" max="1" width="11.19921875" customWidth="1"/>
    <col min="2" max="2" width="8.19921875" customWidth="1"/>
    <col min="3" max="3" width="14.09765625" customWidth="1"/>
    <col min="4" max="4" width="10" customWidth="1"/>
    <col min="5" max="13" width="8.69921875" customWidth="1"/>
    <col min="14" max="14" width="23.3984375" customWidth="1"/>
    <col min="15" max="15" width="4" customWidth="1"/>
    <col min="16" max="19" width="8.69921875" customWidth="1"/>
    <col min="20" max="20" width="10.09765625" customWidth="1"/>
    <col min="21" max="26" width="8.69921875" customWidth="1"/>
  </cols>
  <sheetData>
    <row r="1" spans="1:26" ht="18.75">
      <c r="A1" s="1"/>
      <c r="B1" s="1"/>
      <c r="C1" s="1"/>
      <c r="D1" s="1"/>
      <c r="E1" s="1"/>
      <c r="F1" s="1"/>
      <c r="G1" s="1"/>
      <c r="H1" s="1"/>
      <c r="I1" s="1"/>
      <c r="J1" s="1"/>
      <c r="K1" s="1"/>
      <c r="L1" s="1"/>
      <c r="M1" s="1"/>
      <c r="N1" s="1"/>
      <c r="O1" s="1"/>
      <c r="P1" s="1"/>
      <c r="Q1" s="1"/>
      <c r="R1" s="1"/>
      <c r="S1" s="1"/>
      <c r="T1" s="1"/>
      <c r="U1" s="1"/>
      <c r="V1" s="1"/>
      <c r="W1" s="1"/>
      <c r="X1" s="1"/>
      <c r="Y1" s="1"/>
      <c r="Z1" s="1"/>
    </row>
    <row r="2" spans="1:26" ht="41.25" customHeight="1">
      <c r="A2" s="1"/>
      <c r="B2" s="1"/>
      <c r="C2" s="1"/>
      <c r="D2" s="94" t="s">
        <v>0</v>
      </c>
      <c r="E2" s="88"/>
      <c r="F2" s="88"/>
      <c r="G2" s="88"/>
      <c r="H2" s="88"/>
      <c r="I2" s="88"/>
      <c r="J2" s="88"/>
      <c r="K2" s="88"/>
      <c r="L2" s="88"/>
      <c r="M2" s="88"/>
      <c r="N2" s="88"/>
      <c r="O2" s="1"/>
      <c r="P2" s="1"/>
      <c r="Q2" s="1"/>
      <c r="R2" s="1"/>
      <c r="S2" s="1"/>
      <c r="T2" s="1"/>
      <c r="U2" s="1"/>
      <c r="V2" s="1"/>
      <c r="W2" s="1"/>
      <c r="X2" s="1"/>
      <c r="Y2" s="1"/>
      <c r="Z2" s="1"/>
    </row>
    <row r="3" spans="1:26" ht="8.25" customHeight="1">
      <c r="A3" s="1"/>
      <c r="B3" s="1"/>
      <c r="C3" s="1"/>
      <c r="D3" s="1"/>
      <c r="E3" s="1"/>
      <c r="F3" s="1"/>
      <c r="G3" s="1"/>
      <c r="H3" s="1"/>
      <c r="I3" s="1"/>
      <c r="J3" s="1"/>
      <c r="K3" s="1"/>
      <c r="L3" s="1"/>
      <c r="M3" s="1"/>
      <c r="N3" s="1"/>
      <c r="O3" s="1"/>
      <c r="P3" s="1"/>
      <c r="Q3" s="1"/>
      <c r="R3" s="1"/>
      <c r="S3" s="1"/>
      <c r="T3" s="1"/>
      <c r="U3" s="1"/>
      <c r="V3" s="1"/>
      <c r="W3" s="1"/>
      <c r="X3" s="1"/>
      <c r="Y3" s="1"/>
      <c r="Z3" s="1"/>
    </row>
    <row r="4" spans="1:26" ht="22.5" customHeight="1">
      <c r="A4" s="1"/>
      <c r="B4" s="1"/>
      <c r="C4" s="1"/>
      <c r="D4" s="95" t="s">
        <v>1</v>
      </c>
      <c r="E4" s="88"/>
      <c r="F4" s="88"/>
      <c r="G4" s="88"/>
      <c r="H4" s="88"/>
      <c r="I4" s="88"/>
      <c r="J4" s="88"/>
      <c r="K4" s="88"/>
      <c r="L4" s="88"/>
      <c r="M4" s="88"/>
      <c r="N4" s="88"/>
      <c r="O4" s="1"/>
      <c r="P4" s="1"/>
      <c r="Q4" s="1"/>
      <c r="R4" s="1"/>
      <c r="S4" s="1"/>
      <c r="T4" s="1"/>
      <c r="U4" s="1"/>
      <c r="V4" s="1"/>
      <c r="W4" s="1"/>
      <c r="X4" s="1"/>
      <c r="Y4" s="1"/>
      <c r="Z4" s="1"/>
    </row>
    <row r="5" spans="1:26" ht="21" customHeight="1">
      <c r="A5" s="1"/>
      <c r="B5" s="1"/>
      <c r="C5" s="1"/>
      <c r="D5" s="96" t="s">
        <v>2</v>
      </c>
      <c r="E5" s="88"/>
      <c r="F5" s="88"/>
      <c r="G5" s="88"/>
      <c r="H5" s="88"/>
      <c r="I5" s="88"/>
      <c r="J5" s="88"/>
      <c r="K5" s="88"/>
      <c r="L5" s="88"/>
      <c r="M5" s="88"/>
      <c r="N5" s="88"/>
      <c r="O5" s="1"/>
      <c r="P5" s="1"/>
      <c r="Q5" s="1"/>
      <c r="R5" s="1"/>
      <c r="S5" s="1"/>
      <c r="T5" s="1"/>
      <c r="U5" s="1"/>
      <c r="V5" s="1"/>
      <c r="W5" s="1"/>
      <c r="X5" s="1"/>
      <c r="Y5" s="1"/>
      <c r="Z5" s="1"/>
    </row>
    <row r="6" spans="1:26" ht="15.75" customHeight="1">
      <c r="A6" s="1"/>
      <c r="B6" s="1"/>
      <c r="C6" s="1"/>
      <c r="D6" s="97" t="s">
        <v>3</v>
      </c>
      <c r="E6" s="88"/>
      <c r="F6" s="88"/>
      <c r="G6" s="88"/>
      <c r="H6" s="88"/>
      <c r="I6" s="88"/>
      <c r="J6" s="88"/>
      <c r="K6" s="88"/>
      <c r="L6" s="88"/>
      <c r="M6" s="88"/>
      <c r="N6" s="88"/>
      <c r="O6" s="1"/>
      <c r="P6" s="1"/>
      <c r="Q6" s="1"/>
      <c r="R6" s="1"/>
      <c r="S6" s="1"/>
      <c r="T6" s="1"/>
      <c r="U6" s="1"/>
      <c r="V6" s="1"/>
      <c r="W6" s="1"/>
      <c r="X6" s="1"/>
      <c r="Y6" s="1"/>
      <c r="Z6" s="1"/>
    </row>
    <row r="7" spans="1:26" ht="12.75" customHeight="1">
      <c r="A7" s="1"/>
      <c r="B7" s="1"/>
      <c r="C7" s="1"/>
      <c r="D7" s="1"/>
      <c r="E7" s="1"/>
      <c r="F7" s="1"/>
      <c r="G7" s="1"/>
      <c r="H7" s="1"/>
      <c r="I7" s="1"/>
      <c r="J7" s="1"/>
      <c r="K7" s="1"/>
      <c r="L7" s="1"/>
      <c r="M7" s="1"/>
      <c r="N7" s="1"/>
      <c r="O7" s="1"/>
      <c r="P7" s="1"/>
      <c r="Q7" s="1"/>
      <c r="R7" s="1"/>
      <c r="S7" s="1"/>
      <c r="T7" s="1"/>
      <c r="U7" s="1"/>
      <c r="V7" s="1"/>
      <c r="W7" s="1"/>
      <c r="X7" s="1"/>
      <c r="Y7" s="1"/>
      <c r="Z7" s="1"/>
    </row>
    <row r="8" spans="1:26" ht="18.75" customHeight="1">
      <c r="A8" s="1"/>
      <c r="B8" s="1"/>
      <c r="C8" s="1"/>
      <c r="D8" s="98" t="s">
        <v>4</v>
      </c>
      <c r="E8" s="88"/>
      <c r="F8" s="88"/>
      <c r="G8" s="88"/>
      <c r="H8" s="88"/>
      <c r="I8" s="99" t="s">
        <v>258</v>
      </c>
      <c r="J8" s="88"/>
      <c r="K8" s="88"/>
      <c r="L8" s="88"/>
      <c r="M8" s="88"/>
      <c r="N8" s="88"/>
      <c r="O8" s="1"/>
      <c r="P8" s="1"/>
      <c r="Q8" s="1"/>
      <c r="R8" s="1"/>
      <c r="S8" s="1"/>
      <c r="T8" s="1"/>
      <c r="U8" s="1"/>
      <c r="V8" s="1"/>
      <c r="W8" s="1"/>
      <c r="X8" s="1"/>
      <c r="Y8" s="1"/>
      <c r="Z8" s="1"/>
    </row>
    <row r="9" spans="1:26" ht="6.75" customHeight="1">
      <c r="A9" s="1"/>
      <c r="B9" s="1"/>
      <c r="C9" s="1"/>
      <c r="D9" s="1"/>
      <c r="E9" s="1"/>
      <c r="F9" s="1"/>
      <c r="G9" s="1"/>
      <c r="H9" s="1"/>
      <c r="I9" s="1"/>
      <c r="J9" s="1"/>
      <c r="K9" s="1"/>
      <c r="L9" s="1"/>
      <c r="M9" s="1"/>
      <c r="N9" s="1"/>
      <c r="O9" s="1"/>
      <c r="P9" s="1"/>
      <c r="Q9" s="1"/>
      <c r="R9" s="1"/>
      <c r="S9" s="1"/>
      <c r="T9" s="1"/>
      <c r="U9" s="1"/>
      <c r="V9" s="1"/>
      <c r="W9" s="1"/>
      <c r="X9" s="1"/>
      <c r="Y9" s="1"/>
      <c r="Z9" s="1"/>
    </row>
    <row r="10" spans="1:26" ht="1.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8.75" customHeight="1">
      <c r="A11" s="1"/>
      <c r="B11" s="1"/>
      <c r="C11" s="1"/>
      <c r="D11" s="2" t="s">
        <v>5</v>
      </c>
      <c r="E11" s="93" t="s">
        <v>6</v>
      </c>
      <c r="F11" s="88"/>
      <c r="G11" s="88"/>
      <c r="H11" s="88"/>
      <c r="I11" s="88"/>
      <c r="J11" s="88"/>
      <c r="K11" s="88"/>
      <c r="L11" s="88"/>
      <c r="M11" s="88"/>
      <c r="N11" s="88"/>
      <c r="O11" s="1"/>
      <c r="P11" s="1"/>
      <c r="Q11" s="1"/>
      <c r="R11" s="1"/>
      <c r="S11" s="1"/>
      <c r="T11" s="1"/>
      <c r="U11" s="1"/>
      <c r="V11" s="1"/>
      <c r="W11" s="1"/>
      <c r="X11" s="1"/>
      <c r="Y11" s="1"/>
      <c r="Z11" s="1"/>
    </row>
    <row r="12" spans="1:26" ht="18.75" customHeight="1">
      <c r="A12" s="1"/>
      <c r="B12" s="1"/>
      <c r="C12" s="1"/>
      <c r="D12" s="3">
        <v>1</v>
      </c>
      <c r="E12" s="91" t="s">
        <v>7</v>
      </c>
      <c r="F12" s="88"/>
      <c r="G12" s="88"/>
      <c r="H12" s="88"/>
      <c r="I12" s="88"/>
      <c r="J12" s="88"/>
      <c r="K12" s="88"/>
      <c r="L12" s="88"/>
      <c r="M12" s="88"/>
      <c r="N12" s="88"/>
      <c r="O12" s="1"/>
      <c r="P12" s="1"/>
      <c r="Q12" s="1"/>
      <c r="R12" s="1"/>
      <c r="S12" s="1"/>
      <c r="T12" s="1"/>
      <c r="U12" s="1"/>
      <c r="V12" s="1"/>
      <c r="W12" s="1"/>
      <c r="X12" s="1"/>
      <c r="Y12" s="1"/>
      <c r="Z12" s="1"/>
    </row>
    <row r="13" spans="1:26" ht="18.75" customHeight="1">
      <c r="A13" s="1"/>
      <c r="B13" s="1"/>
      <c r="C13" s="1"/>
      <c r="D13" s="3">
        <v>2</v>
      </c>
      <c r="E13" s="91" t="s">
        <v>8</v>
      </c>
      <c r="F13" s="88"/>
      <c r="G13" s="88"/>
      <c r="H13" s="88"/>
      <c r="I13" s="88"/>
      <c r="J13" s="88"/>
      <c r="K13" s="88"/>
      <c r="L13" s="88"/>
      <c r="M13" s="88"/>
      <c r="N13" s="88"/>
      <c r="O13" s="1"/>
      <c r="P13" s="1"/>
      <c r="Q13" s="1"/>
      <c r="R13" s="1"/>
      <c r="S13" s="1"/>
      <c r="T13" s="1"/>
      <c r="U13" s="1"/>
      <c r="V13" s="1"/>
      <c r="W13" s="1"/>
      <c r="X13" s="1"/>
      <c r="Y13" s="1"/>
      <c r="Z13" s="1"/>
    </row>
    <row r="14" spans="1:26" ht="18.75" customHeight="1">
      <c r="A14" s="1"/>
      <c r="B14" s="1"/>
      <c r="C14" s="1"/>
      <c r="D14" s="3">
        <v>3</v>
      </c>
      <c r="E14" s="91" t="s">
        <v>259</v>
      </c>
      <c r="F14" s="88"/>
      <c r="G14" s="88"/>
      <c r="H14" s="88"/>
      <c r="I14" s="88"/>
      <c r="J14" s="88"/>
      <c r="K14" s="88"/>
      <c r="L14" s="88"/>
      <c r="M14" s="88"/>
      <c r="N14" s="88"/>
      <c r="O14" s="1"/>
      <c r="P14" s="1"/>
      <c r="Q14" s="1"/>
      <c r="R14" s="1"/>
      <c r="S14" s="1"/>
      <c r="T14" s="1"/>
      <c r="U14" s="1"/>
      <c r="V14" s="1"/>
      <c r="W14" s="1"/>
      <c r="X14" s="1"/>
      <c r="Y14" s="1"/>
      <c r="Z14" s="1"/>
    </row>
    <row r="15" spans="1:26" ht="18.75" customHeight="1">
      <c r="A15" s="1"/>
      <c r="B15" s="1"/>
      <c r="C15" s="1"/>
      <c r="D15" s="3">
        <v>4</v>
      </c>
      <c r="E15" s="91" t="s">
        <v>260</v>
      </c>
      <c r="F15" s="88"/>
      <c r="G15" s="88"/>
      <c r="H15" s="88"/>
      <c r="I15" s="88"/>
      <c r="J15" s="88"/>
      <c r="K15" s="88"/>
      <c r="L15" s="88"/>
      <c r="M15" s="88"/>
      <c r="N15" s="88"/>
      <c r="O15" s="1"/>
      <c r="P15" s="1"/>
      <c r="Q15" s="1"/>
      <c r="R15" s="1"/>
      <c r="S15" s="1"/>
      <c r="T15" s="1"/>
      <c r="U15" s="1"/>
      <c r="V15" s="1"/>
      <c r="W15" s="1"/>
      <c r="X15" s="1"/>
      <c r="Y15" s="1"/>
      <c r="Z15" s="1"/>
    </row>
    <row r="16" spans="1:26" ht="13.5" customHeight="1">
      <c r="A16" s="1"/>
      <c r="B16" s="1"/>
      <c r="C16" s="1"/>
      <c r="D16" s="2"/>
      <c r="E16" s="4"/>
      <c r="F16" s="4"/>
      <c r="G16" s="4"/>
      <c r="H16" s="4"/>
      <c r="I16" s="4"/>
      <c r="J16" s="4"/>
      <c r="K16" s="4"/>
      <c r="L16" s="4"/>
      <c r="M16" s="4"/>
      <c r="N16" s="4"/>
      <c r="O16" s="1"/>
      <c r="P16" s="1"/>
      <c r="Q16" s="1"/>
      <c r="R16" s="1"/>
      <c r="S16" s="1"/>
      <c r="T16" s="1"/>
      <c r="U16" s="1"/>
      <c r="V16" s="1"/>
      <c r="W16" s="1"/>
      <c r="X16" s="1"/>
      <c r="Y16" s="1"/>
      <c r="Z16" s="1"/>
    </row>
    <row r="17" spans="1:26" ht="18.75" customHeight="1">
      <c r="A17" s="1"/>
      <c r="B17" s="1"/>
      <c r="C17" s="1"/>
      <c r="D17" s="2" t="s">
        <v>9</v>
      </c>
      <c r="E17" s="93" t="s">
        <v>10</v>
      </c>
      <c r="F17" s="88"/>
      <c r="G17" s="88"/>
      <c r="H17" s="88"/>
      <c r="I17" s="88"/>
      <c r="J17" s="88"/>
      <c r="K17" s="88"/>
      <c r="L17" s="88"/>
      <c r="M17" s="88"/>
      <c r="N17" s="88"/>
      <c r="O17" s="1"/>
      <c r="P17" s="1"/>
      <c r="Q17" s="1"/>
      <c r="R17" s="1"/>
      <c r="S17" s="1"/>
      <c r="T17" s="1"/>
      <c r="U17" s="1"/>
      <c r="V17" s="1"/>
      <c r="W17" s="1"/>
      <c r="X17" s="1"/>
      <c r="Y17" s="1"/>
      <c r="Z17" s="1"/>
    </row>
    <row r="18" spans="1:26" ht="18.75" customHeight="1">
      <c r="A18" s="1"/>
      <c r="B18" s="1"/>
      <c r="C18" s="1"/>
      <c r="D18" s="2" t="s">
        <v>11</v>
      </c>
      <c r="E18" s="91" t="s">
        <v>12</v>
      </c>
      <c r="F18" s="88"/>
      <c r="G18" s="88"/>
      <c r="H18" s="88"/>
      <c r="I18" s="88"/>
      <c r="J18" s="88"/>
      <c r="K18" s="88"/>
      <c r="L18" s="88"/>
      <c r="M18" s="88"/>
      <c r="N18" s="88"/>
      <c r="O18" s="1"/>
      <c r="P18" s="1"/>
      <c r="Q18" s="1"/>
      <c r="R18" s="1"/>
      <c r="S18" s="1"/>
      <c r="T18" s="1"/>
      <c r="U18" s="1"/>
      <c r="V18" s="1"/>
      <c r="W18" s="1"/>
      <c r="X18" s="1"/>
      <c r="Y18" s="1"/>
      <c r="Z18" s="1"/>
    </row>
    <row r="19" spans="1:26" ht="6"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8.75" customHeight="1">
      <c r="A20" s="1"/>
      <c r="B20" s="1"/>
      <c r="C20" s="1"/>
      <c r="D20" s="2" t="s">
        <v>13</v>
      </c>
      <c r="E20" s="91" t="s">
        <v>261</v>
      </c>
      <c r="F20" s="88"/>
      <c r="G20" s="88"/>
      <c r="H20" s="88"/>
      <c r="I20" s="88"/>
      <c r="J20" s="88"/>
      <c r="K20" s="88"/>
      <c r="L20" s="88"/>
      <c r="M20" s="88"/>
      <c r="N20" s="88"/>
      <c r="O20" s="1"/>
      <c r="P20" s="1"/>
      <c r="Q20" s="1"/>
      <c r="R20" s="1"/>
      <c r="S20" s="1"/>
      <c r="T20" s="1"/>
      <c r="U20" s="1"/>
      <c r="V20" s="1"/>
      <c r="W20" s="1"/>
      <c r="X20" s="1"/>
      <c r="Y20" s="1"/>
      <c r="Z20" s="1"/>
    </row>
    <row r="21" spans="1:26" ht="6"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8.75" customHeight="1">
      <c r="A22" s="1"/>
      <c r="B22" s="1"/>
      <c r="C22" s="1"/>
      <c r="D22" s="2" t="s">
        <v>14</v>
      </c>
      <c r="E22" s="91" t="s">
        <v>15</v>
      </c>
      <c r="F22" s="88"/>
      <c r="G22" s="88"/>
      <c r="H22" s="88"/>
      <c r="I22" s="88"/>
      <c r="J22" s="88"/>
      <c r="K22" s="88"/>
      <c r="L22" s="88"/>
      <c r="M22" s="88"/>
      <c r="N22" s="88"/>
      <c r="O22" s="1"/>
      <c r="P22" s="1"/>
      <c r="Q22" s="1"/>
      <c r="R22" s="1"/>
      <c r="S22" s="1"/>
      <c r="T22" s="1"/>
      <c r="U22" s="1"/>
      <c r="V22" s="1"/>
      <c r="W22" s="1"/>
      <c r="X22" s="1"/>
      <c r="Y22" s="1"/>
      <c r="Z22" s="1"/>
    </row>
    <row r="23" spans="1:26" ht="6"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8.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6" customHeight="1">
      <c r="A25" s="1"/>
      <c r="B25" s="1"/>
      <c r="C25" s="1"/>
      <c r="D25" s="5"/>
      <c r="E25" s="5"/>
      <c r="F25" s="5"/>
      <c r="G25" s="5"/>
      <c r="H25" s="5"/>
      <c r="I25" s="5"/>
      <c r="J25" s="5"/>
      <c r="K25" s="5"/>
      <c r="L25" s="5"/>
      <c r="M25" s="5"/>
      <c r="N25" s="5"/>
      <c r="O25" s="1"/>
      <c r="P25" s="1"/>
      <c r="Q25" s="1"/>
      <c r="R25" s="1"/>
      <c r="S25" s="1"/>
      <c r="T25" s="1"/>
      <c r="U25" s="1"/>
      <c r="V25" s="1"/>
      <c r="W25" s="1"/>
      <c r="X25" s="1"/>
      <c r="Y25" s="1"/>
      <c r="Z25" s="1"/>
    </row>
    <row r="26" spans="1:26" ht="10.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7.25" customHeight="1">
      <c r="A27" s="1"/>
      <c r="B27" s="1"/>
      <c r="C27" s="1"/>
      <c r="D27" s="92" t="s">
        <v>16</v>
      </c>
      <c r="E27" s="88"/>
      <c r="F27" s="88"/>
      <c r="G27" s="88"/>
      <c r="H27" s="88"/>
      <c r="I27" s="88"/>
      <c r="J27" s="88"/>
      <c r="K27" s="88"/>
      <c r="L27" s="88"/>
      <c r="M27" s="88"/>
      <c r="N27" s="88"/>
      <c r="O27" s="1"/>
      <c r="P27" s="1"/>
      <c r="Q27" s="1"/>
      <c r="R27" s="1"/>
      <c r="S27" s="1"/>
      <c r="T27" s="1"/>
      <c r="U27" s="1"/>
      <c r="V27" s="1"/>
      <c r="W27" s="1"/>
      <c r="X27" s="1"/>
      <c r="Y27" s="1"/>
      <c r="Z27" s="1"/>
    </row>
    <row r="28" spans="1:26" ht="6"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89" t="s">
        <v>17</v>
      </c>
      <c r="E29" s="88"/>
      <c r="F29" s="88"/>
      <c r="G29" s="88"/>
      <c r="H29" s="88"/>
      <c r="I29" s="88"/>
      <c r="J29" s="88"/>
      <c r="K29" s="88"/>
      <c r="L29" s="88"/>
      <c r="M29" s="88"/>
      <c r="N29" s="88"/>
      <c r="O29" s="1"/>
      <c r="P29" s="1"/>
      <c r="Q29" s="1"/>
      <c r="R29" s="1"/>
      <c r="S29" s="1"/>
      <c r="T29" s="1"/>
      <c r="U29" s="1"/>
      <c r="V29" s="1"/>
      <c r="W29" s="1"/>
      <c r="X29" s="1"/>
      <c r="Y29" s="1"/>
      <c r="Z29" s="1"/>
    </row>
    <row r="30" spans="1:26" ht="14.25" customHeight="1">
      <c r="A30" s="1"/>
      <c r="B30" s="1"/>
      <c r="C30" s="1"/>
      <c r="D30" s="87" t="s">
        <v>18</v>
      </c>
      <c r="E30" s="88"/>
      <c r="F30" s="88"/>
      <c r="G30" s="88"/>
      <c r="H30" s="88"/>
      <c r="I30" s="88"/>
      <c r="J30" s="88"/>
      <c r="K30" s="88"/>
      <c r="L30" s="88"/>
      <c r="M30" s="88"/>
      <c r="N30" s="88"/>
      <c r="O30" s="1"/>
      <c r="P30" s="1"/>
      <c r="Q30" s="1"/>
      <c r="R30" s="1"/>
      <c r="S30" s="1"/>
      <c r="T30" s="1"/>
      <c r="U30" s="1"/>
      <c r="V30" s="1"/>
      <c r="W30" s="1"/>
      <c r="X30" s="1"/>
      <c r="Y30" s="1"/>
      <c r="Z30" s="1"/>
    </row>
    <row r="31" spans="1:26" ht="15.75" customHeight="1">
      <c r="A31" s="1"/>
      <c r="B31" s="1"/>
      <c r="C31" s="1"/>
      <c r="D31" s="89" t="s">
        <v>262</v>
      </c>
      <c r="E31" s="88"/>
      <c r="F31" s="88"/>
      <c r="G31" s="88"/>
      <c r="H31" s="88"/>
      <c r="I31" s="88"/>
      <c r="J31" s="88"/>
      <c r="K31" s="88"/>
      <c r="L31" s="88"/>
      <c r="M31" s="88"/>
      <c r="N31" s="88"/>
      <c r="O31" s="1"/>
      <c r="P31" s="1"/>
      <c r="Q31" s="1"/>
      <c r="R31" s="1"/>
      <c r="S31" s="1"/>
      <c r="T31" s="1"/>
      <c r="U31" s="1"/>
      <c r="V31" s="1"/>
      <c r="W31" s="1"/>
      <c r="X31" s="1"/>
      <c r="Y31" s="1"/>
      <c r="Z31" s="1"/>
    </row>
    <row r="32" spans="1:26" ht="14.25" customHeight="1">
      <c r="A32" s="1"/>
      <c r="B32" s="1"/>
      <c r="C32" s="1"/>
      <c r="D32" s="87" t="s">
        <v>263</v>
      </c>
      <c r="E32" s="88"/>
      <c r="F32" s="88"/>
      <c r="G32" s="88"/>
      <c r="H32" s="88"/>
      <c r="I32" s="88"/>
      <c r="J32" s="88"/>
      <c r="K32" s="88"/>
      <c r="L32" s="88"/>
      <c r="M32" s="88"/>
      <c r="N32" s="88"/>
      <c r="O32" s="1"/>
      <c r="P32" s="1"/>
      <c r="Q32" s="1"/>
      <c r="R32" s="1"/>
      <c r="S32" s="1"/>
      <c r="T32" s="1"/>
      <c r="U32" s="1"/>
      <c r="V32" s="1"/>
      <c r="W32" s="1"/>
      <c r="X32" s="1"/>
      <c r="Y32" s="1"/>
      <c r="Z32" s="1"/>
    </row>
    <row r="33" spans="1:26" ht="15.75" customHeight="1">
      <c r="A33" s="1"/>
      <c r="B33" s="1"/>
      <c r="C33" s="1"/>
      <c r="D33" s="89" t="s">
        <v>264</v>
      </c>
      <c r="E33" s="88"/>
      <c r="F33" s="88"/>
      <c r="G33" s="88"/>
      <c r="H33" s="88"/>
      <c r="I33" s="88"/>
      <c r="J33" s="88"/>
      <c r="K33" s="88"/>
      <c r="L33" s="88"/>
      <c r="M33" s="88"/>
      <c r="N33" s="88"/>
      <c r="O33" s="1"/>
      <c r="P33" s="1"/>
      <c r="Q33" s="1"/>
      <c r="R33" s="1"/>
      <c r="S33" s="1"/>
      <c r="T33" s="1"/>
      <c r="U33" s="1"/>
      <c r="V33" s="1"/>
      <c r="W33" s="1"/>
      <c r="X33" s="1"/>
      <c r="Y33" s="1"/>
      <c r="Z33" s="1"/>
    </row>
    <row r="34" spans="1:26" ht="14.25" customHeight="1">
      <c r="A34" s="1"/>
      <c r="B34" s="1"/>
      <c r="C34" s="1"/>
      <c r="D34" s="87" t="s">
        <v>265</v>
      </c>
      <c r="E34" s="88"/>
      <c r="F34" s="88"/>
      <c r="G34" s="88"/>
      <c r="H34" s="88"/>
      <c r="I34" s="88"/>
      <c r="J34" s="88"/>
      <c r="K34" s="88"/>
      <c r="L34" s="88"/>
      <c r="M34" s="88"/>
      <c r="N34" s="88"/>
      <c r="O34" s="1"/>
      <c r="P34" s="1"/>
      <c r="Q34" s="1"/>
      <c r="R34" s="1"/>
      <c r="S34" s="1"/>
      <c r="T34" s="1"/>
      <c r="U34" s="1"/>
      <c r="V34" s="1"/>
      <c r="W34" s="1"/>
      <c r="X34" s="1"/>
      <c r="Y34" s="1"/>
      <c r="Z34" s="1"/>
    </row>
    <row r="35" spans="1:26" ht="15.75" customHeight="1">
      <c r="A35" s="1"/>
      <c r="B35" s="1"/>
      <c r="C35" s="1"/>
      <c r="D35" s="89" t="s">
        <v>266</v>
      </c>
      <c r="E35" s="88"/>
      <c r="F35" s="88"/>
      <c r="G35" s="88"/>
      <c r="H35" s="88"/>
      <c r="I35" s="88"/>
      <c r="J35" s="88"/>
      <c r="K35" s="88"/>
      <c r="L35" s="88"/>
      <c r="M35" s="88"/>
      <c r="N35" s="88"/>
      <c r="O35" s="1"/>
      <c r="P35" s="1"/>
      <c r="Q35" s="1"/>
      <c r="R35" s="1"/>
      <c r="S35" s="1"/>
      <c r="T35" s="1"/>
      <c r="U35" s="1"/>
      <c r="V35" s="1"/>
      <c r="W35" s="1"/>
      <c r="X35" s="1"/>
      <c r="Y35" s="1"/>
      <c r="Z35" s="1"/>
    </row>
    <row r="36" spans="1:26" ht="14.25" customHeight="1">
      <c r="A36" s="1"/>
      <c r="B36" s="1"/>
      <c r="C36" s="1"/>
      <c r="D36" s="87" t="s">
        <v>267</v>
      </c>
      <c r="E36" s="88"/>
      <c r="F36" s="88"/>
      <c r="G36" s="88"/>
      <c r="H36" s="88"/>
      <c r="I36" s="88"/>
      <c r="J36" s="88"/>
      <c r="K36" s="88"/>
      <c r="L36" s="88"/>
      <c r="M36" s="88"/>
      <c r="N36" s="88"/>
      <c r="O36" s="1"/>
      <c r="P36" s="1"/>
      <c r="Q36" s="1"/>
      <c r="R36" s="1"/>
      <c r="S36" s="1"/>
      <c r="T36" s="1"/>
      <c r="U36" s="1"/>
      <c r="V36" s="1"/>
      <c r="W36" s="1"/>
      <c r="X36" s="1"/>
      <c r="Y36" s="1"/>
      <c r="Z36" s="1"/>
    </row>
    <row r="37" spans="1:26" ht="15.75" customHeight="1">
      <c r="A37" s="1"/>
      <c r="B37" s="1"/>
      <c r="C37" s="1"/>
      <c r="D37" s="89" t="s">
        <v>268</v>
      </c>
      <c r="E37" s="88"/>
      <c r="F37" s="88"/>
      <c r="G37" s="88"/>
      <c r="H37" s="88"/>
      <c r="I37" s="88"/>
      <c r="J37" s="88"/>
      <c r="K37" s="88"/>
      <c r="L37" s="88"/>
      <c r="M37" s="88"/>
      <c r="N37" s="88"/>
      <c r="O37" s="1"/>
      <c r="P37" s="1"/>
      <c r="Q37" s="1"/>
      <c r="R37" s="1"/>
      <c r="S37" s="1"/>
      <c r="T37" s="1"/>
      <c r="U37" s="1"/>
      <c r="V37" s="1"/>
      <c r="W37" s="1"/>
      <c r="X37" s="1"/>
      <c r="Y37" s="1"/>
      <c r="Z37" s="1"/>
    </row>
    <row r="38" spans="1:26" ht="14.25" customHeight="1">
      <c r="A38" s="1"/>
      <c r="B38" s="1"/>
      <c r="C38" s="1"/>
      <c r="D38" s="87" t="s">
        <v>269</v>
      </c>
      <c r="E38" s="88"/>
      <c r="F38" s="88"/>
      <c r="G38" s="88"/>
      <c r="H38" s="88"/>
      <c r="I38" s="88"/>
      <c r="J38" s="88"/>
      <c r="K38" s="88"/>
      <c r="L38" s="88"/>
      <c r="M38" s="88"/>
      <c r="N38" s="88"/>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27" customHeight="1">
      <c r="A40" s="1"/>
      <c r="B40" s="1"/>
      <c r="C40" s="1"/>
      <c r="D40" s="90" t="s">
        <v>19</v>
      </c>
      <c r="E40" s="88"/>
      <c r="F40" s="88"/>
      <c r="G40" s="88"/>
      <c r="H40" s="88"/>
      <c r="I40" s="88"/>
      <c r="J40" s="88"/>
      <c r="K40" s="88"/>
      <c r="L40" s="88"/>
      <c r="M40" s="88"/>
      <c r="N40" s="88"/>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7.25" customHeight="1">
      <c r="A43" s="1"/>
      <c r="B43" s="1"/>
      <c r="C43" s="1"/>
      <c r="D43" s="92" t="inlineStr">
        <is>
          <t xml:space="preserve">¿Querés ver el año entero junto? Esta es la versión Light.</t>
        </is>
      </c>
      <c r="E43" s="88"/>
      <c r="F43" s="88"/>
      <c r="G43" s="88"/>
      <c r="H43" s="88"/>
      <c r="I43" s="88"/>
      <c r="J43" s="88"/>
      <c r="K43" s="88"/>
      <c r="L43" s="88"/>
      <c r="M43" s="88"/>
      <c r="N43" s="88"/>
      <c r="O43" s="1"/>
      <c r="P43" s="1"/>
      <c r="Q43" s="1"/>
      <c r="R43" s="1"/>
      <c r="S43" s="1"/>
      <c r="T43" s="1"/>
      <c r="U43" s="1"/>
      <c r="V43" s="1"/>
      <c r="W43" s="1"/>
      <c r="X43" s="1"/>
      <c r="Y43" s="1"/>
      <c r="Z43" s="1"/>
    </row>
    <row r="44" spans="1:26" ht="14.25" customHeight="1">
      <c r="A44" s="1"/>
      <c r="B44" s="1"/>
      <c r="C44" s="1"/>
      <c r="D44" s="87" t="inlineStr">
        <is>
          <t xml:space="preserve">       →  Acá anotás mes a mes. La completa suma tu año en un Tablero.</t>
        </is>
      </c>
      <c r="E44" s="88"/>
      <c r="F44" s="88"/>
      <c r="G44" s="88"/>
      <c r="H44" s="88"/>
      <c r="I44" s="88"/>
      <c r="J44" s="88"/>
      <c r="K44" s="88"/>
      <c r="L44" s="88"/>
      <c r="M44" s="88"/>
      <c r="N44" s="88"/>
      <c r="O44" s="1"/>
      <c r="P44" s="1"/>
      <c r="Q44" s="1"/>
      <c r="R44" s="1"/>
      <c r="S44" s="1"/>
      <c r="T44" s="1"/>
      <c r="U44" s="1"/>
      <c r="V44" s="1"/>
      <c r="W44" s="1"/>
      <c r="X44" s="1"/>
      <c r="Y44" s="1"/>
      <c r="Z44" s="1"/>
    </row>
    <row r="45" spans="1:26" ht="14.25" customHeight="1">
      <c r="A45" s="1"/>
      <c r="B45" s="1"/>
      <c r="C45" s="1"/>
      <c r="D45" s="87" t="inlineStr">
        <is>
          <t xml:space="preserve">       →  Más Resumen Anual, Salud Financiera, Metas y Patrimonio: 29 hojas.</t>
        </is>
      </c>
      <c r="E45" s="88"/>
      <c r="F45" s="88"/>
      <c r="G45" s="88"/>
      <c r="H45" s="88"/>
      <c r="I45" s="88"/>
      <c r="J45" s="88"/>
      <c r="K45" s="88"/>
      <c r="L45" s="88"/>
      <c r="M45" s="88"/>
      <c r="N45" s="88"/>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27" customHeight="1">
      <c r="A47" s="1"/>
      <c r="B47" s="1"/>
      <c r="C47" s="1"/>
      <c r="D47" s="90" t="inlineStr">
        <is>
          <t xml:space="preserve">→   VER LA PLANILLA COMPLETA   →</t>
        </is>
      </c>
      <c r="E47" s="88"/>
      <c r="F47" s="88"/>
      <c r="G47" s="88"/>
      <c r="H47" s="88"/>
      <c r="I47" s="88"/>
      <c r="J47" s="88"/>
      <c r="K47" s="88"/>
      <c r="L47" s="88"/>
      <c r="M47" s="88"/>
      <c r="N47" s="88"/>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3.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3.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3.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3.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sheetProtection sheet="1" objects="1" scenarios="1" formatCells="0" formatColumns="0" formatRows="0" insertColumns="0" insertRows="0" deleteColumns="0" deleteRows="0" sort="0" autoFilter="0"/>
  <mergeCells count="31">
    <mergeCell ref="D2:N2"/>
    <mergeCell ref="D4:N4"/>
    <mergeCell ref="D5:N5"/>
    <mergeCell ref="D6:N6"/>
    <mergeCell ref="D8:H8"/>
    <mergeCell ref="I8:N8"/>
    <mergeCell ref="E11:N11"/>
    <mergeCell ref="E12:N12"/>
    <mergeCell ref="E13:N13"/>
    <mergeCell ref="E14:N14"/>
    <mergeCell ref="E15:N15"/>
    <mergeCell ref="E17:N17"/>
    <mergeCell ref="E18:N18"/>
    <mergeCell ref="E20:N20"/>
    <mergeCell ref="D34:N34"/>
    <mergeCell ref="D35:N35"/>
    <mergeCell ref="D36:N36"/>
    <mergeCell ref="D37:N37"/>
    <mergeCell ref="D38:N38"/>
    <mergeCell ref="D40:N40"/>
    <mergeCell ref="E22:N22"/>
    <mergeCell ref="D27:N27"/>
    <mergeCell ref="D29:N29"/>
    <mergeCell ref="D30:N30"/>
    <mergeCell ref="D31:N31"/>
    <mergeCell ref="D32:N32"/>
    <mergeCell ref="D33:N33"/>
    <mergeCell ref="D43:N43"/>
    <mergeCell ref="D44:N44"/>
    <mergeCell ref="D45:N45"/>
    <mergeCell ref="D47:N47"/>
  </mergeCells>
  <hyperlinks>
    <hyperlink ref="I8" r:id="rId1" xr:uid="{00000000-0004-0000-0000-000000000000}"/>
    <hyperlink ref="D40" location="'⚙️ Configuración'!A1" display="→   EMPEZAR A USAR LA PLANILLA   →" xr:uid="{00000000-0004-0000-0000-000001000000}"/>
    <hyperlink ref="D47" r:id="rId9" display="Ver la Planilla completa"/>
  </hyperlinks>
  <pageMargins left="0.75" right="0.75" top="1" bottom="1"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A8C7E"/>
  </sheetPr>
  <dimension ref="A1:Z1000"/>
  <sheetViews>
    <sheetView showGridLines="0" workbookViewId="0"/>
  </sheetViews>
  <sheetFormatPr baseColWidth="10" defaultColWidth="12.59765625" defaultRowHeight="15" customHeight="1"/>
  <cols>
    <col min="1" max="1" width="2" customWidth="1"/>
    <col min="2" max="2" width="27.5" customWidth="1"/>
    <col min="3" max="3" width="16.8984375" customWidth="1"/>
    <col min="4" max="4" width="34.8984375" customWidth="1"/>
    <col min="5" max="5" width="4" customWidth="1"/>
    <col min="6" max="6" width="6" customWidth="1"/>
    <col min="7" max="7" width="24.5" customWidth="1"/>
    <col min="8" max="9" width="8" customWidth="1"/>
    <col min="10" max="10" width="9.19921875" customWidth="1"/>
    <col min="11" max="11" width="4" customWidth="1"/>
    <col min="12" max="13" width="8.69921875" customWidth="1"/>
    <col min="14" max="16" width="10" hidden="1" customWidth="1"/>
    <col min="17" max="19" width="8.69921875" customWidth="1"/>
    <col min="20" max="20" width="10.8984375" customWidth="1"/>
    <col min="21" max="22" width="8.69921875" customWidth="1"/>
    <col min="23" max="26" width="14.3984375" customWidth="1"/>
  </cols>
  <sheetData>
    <row r="1" spans="1:26" ht="9" customHeight="1">
      <c r="A1" s="7"/>
      <c r="B1" s="7"/>
      <c r="C1" s="7"/>
      <c r="D1" s="7"/>
      <c r="E1" s="7"/>
      <c r="F1" s="7"/>
      <c r="G1" s="7"/>
      <c r="H1" s="7"/>
      <c r="I1" s="7"/>
      <c r="J1" s="7"/>
      <c r="K1" s="7"/>
      <c r="L1" s="7"/>
      <c r="M1" s="7"/>
      <c r="N1" s="7"/>
      <c r="O1" s="7"/>
      <c r="P1" s="7"/>
      <c r="Q1" s="7"/>
      <c r="R1" s="7"/>
      <c r="S1" s="7"/>
      <c r="T1" s="7"/>
      <c r="U1" s="7"/>
      <c r="V1" s="7"/>
      <c r="W1" s="1"/>
      <c r="X1" s="6"/>
      <c r="Y1" s="6"/>
      <c r="Z1" s="6"/>
    </row>
    <row r="2" spans="1:26" ht="21.75" customHeight="1">
      <c r="A2" s="7"/>
      <c r="B2" s="118" t="s">
        <v>26</v>
      </c>
      <c r="C2" s="88"/>
      <c r="D2" s="88"/>
      <c r="E2" s="88"/>
      <c r="F2" s="88"/>
      <c r="G2" s="119" t="s">
        <v>27</v>
      </c>
      <c r="H2" s="109"/>
      <c r="I2" s="109"/>
      <c r="J2" s="109"/>
      <c r="K2" s="109"/>
      <c r="L2" s="109"/>
      <c r="M2" s="109"/>
      <c r="N2" s="109"/>
      <c r="O2" s="109"/>
      <c r="P2" s="109"/>
      <c r="Q2" s="109"/>
      <c r="R2" s="109"/>
      <c r="S2" s="109"/>
      <c r="T2" s="109"/>
      <c r="U2" s="7"/>
      <c r="V2" s="7"/>
      <c r="W2" s="1"/>
      <c r="X2" s="6"/>
      <c r="Y2" s="6"/>
      <c r="Z2" s="6"/>
    </row>
    <row r="3" spans="1:26" ht="15.75" customHeight="1">
      <c r="A3" s="7"/>
      <c r="B3" s="87" t="s">
        <v>28</v>
      </c>
      <c r="C3" s="88"/>
      <c r="D3" s="88"/>
      <c r="E3" s="88"/>
      <c r="F3" s="88"/>
      <c r="G3" s="110"/>
      <c r="H3" s="111"/>
      <c r="I3" s="111"/>
      <c r="J3" s="111"/>
      <c r="K3" s="111"/>
      <c r="L3" s="111"/>
      <c r="M3" s="111"/>
      <c r="N3" s="111"/>
      <c r="O3" s="111"/>
      <c r="P3" s="111"/>
      <c r="Q3" s="111"/>
      <c r="R3" s="111"/>
      <c r="S3" s="111"/>
      <c r="T3" s="111"/>
      <c r="U3" s="7"/>
      <c r="V3" s="7"/>
      <c r="W3" s="1"/>
      <c r="X3" s="6"/>
      <c r="Y3" s="6"/>
      <c r="Z3" s="6"/>
    </row>
    <row r="4" spans="1:26" ht="24" customHeight="1">
      <c r="A4" s="7"/>
      <c r="B4" s="7"/>
      <c r="C4" s="7"/>
      <c r="D4" s="7"/>
      <c r="E4" s="7"/>
      <c r="F4" s="7"/>
      <c r="G4" s="110"/>
      <c r="H4" s="111"/>
      <c r="I4" s="111"/>
      <c r="J4" s="111"/>
      <c r="K4" s="111"/>
      <c r="L4" s="111"/>
      <c r="M4" s="111"/>
      <c r="N4" s="111"/>
      <c r="O4" s="111"/>
      <c r="P4" s="111"/>
      <c r="Q4" s="111"/>
      <c r="R4" s="111"/>
      <c r="S4" s="111"/>
      <c r="T4" s="111"/>
      <c r="U4" s="1"/>
      <c r="V4" s="1"/>
      <c r="W4" s="1"/>
      <c r="X4" s="6"/>
      <c r="Y4" s="6"/>
      <c r="Z4" s="6"/>
    </row>
    <row r="5" spans="1:26" ht="35.25" customHeight="1">
      <c r="A5" s="7"/>
      <c r="B5" s="7"/>
      <c r="C5" s="7"/>
      <c r="D5" s="7"/>
      <c r="E5" s="7"/>
      <c r="F5" s="7"/>
      <c r="G5" s="110"/>
      <c r="H5" s="111"/>
      <c r="I5" s="111"/>
      <c r="J5" s="111"/>
      <c r="K5" s="111"/>
      <c r="L5" s="111"/>
      <c r="M5" s="111"/>
      <c r="N5" s="111"/>
      <c r="O5" s="111"/>
      <c r="P5" s="111"/>
      <c r="Q5" s="111"/>
      <c r="R5" s="111"/>
      <c r="S5" s="111"/>
      <c r="T5" s="111"/>
      <c r="U5" s="7"/>
      <c r="V5" s="7"/>
      <c r="W5" s="1"/>
      <c r="X5" s="6"/>
      <c r="Y5" s="6"/>
      <c r="Z5" s="6"/>
    </row>
    <row r="6" spans="1:26" ht="12.75" customHeight="1">
      <c r="A6" s="16"/>
      <c r="B6" s="17"/>
      <c r="C6" s="17"/>
      <c r="D6" s="17"/>
      <c r="E6" s="16"/>
      <c r="F6" s="17"/>
      <c r="G6" s="17"/>
      <c r="H6" s="17"/>
      <c r="I6" s="17"/>
      <c r="J6" s="17"/>
      <c r="K6" s="16"/>
      <c r="L6" s="16"/>
      <c r="M6" s="16"/>
      <c r="N6" s="16"/>
      <c r="O6" s="16"/>
      <c r="P6" s="16"/>
      <c r="Q6" s="16"/>
      <c r="R6" s="16"/>
      <c r="S6" s="16"/>
      <c r="T6" s="16"/>
      <c r="U6" s="16"/>
      <c r="V6" s="16"/>
      <c r="W6" s="16"/>
      <c r="X6" s="6"/>
      <c r="Y6" s="6"/>
      <c r="Z6" s="6"/>
    </row>
    <row r="7" spans="1:26" ht="21.75" customHeight="1">
      <c r="A7" s="16"/>
      <c r="B7" s="113" t="s">
        <v>29</v>
      </c>
      <c r="C7" s="88"/>
      <c r="D7" s="88"/>
      <c r="E7" s="16"/>
      <c r="F7" s="113" t="s">
        <v>30</v>
      </c>
      <c r="G7" s="88"/>
      <c r="H7" s="88"/>
      <c r="I7" s="88"/>
      <c r="J7" s="88"/>
      <c r="K7" s="16"/>
      <c r="L7" s="16"/>
      <c r="M7" s="16"/>
      <c r="N7" s="16"/>
      <c r="O7" s="16"/>
      <c r="P7" s="16"/>
      <c r="Q7" s="16"/>
      <c r="R7" s="16"/>
      <c r="S7" s="16"/>
      <c r="T7" s="16"/>
      <c r="U7" s="16"/>
      <c r="V7" s="16"/>
      <c r="W7" s="16"/>
      <c r="X7" s="6"/>
      <c r="Y7" s="6"/>
      <c r="Z7" s="6"/>
    </row>
    <row r="8" spans="1:26" ht="24.75" customHeight="1">
      <c r="A8" s="16"/>
      <c r="B8" s="18" t="s">
        <v>31</v>
      </c>
      <c r="C8" s="100"/>
      <c r="D8" s="102"/>
      <c r="E8" s="16"/>
      <c r="F8" s="116" t="s">
        <v>32</v>
      </c>
      <c r="G8" s="88"/>
      <c r="H8" s="88"/>
      <c r="I8" s="88"/>
      <c r="J8" s="88"/>
      <c r="K8" s="16"/>
      <c r="L8" s="16"/>
      <c r="M8" s="16"/>
      <c r="N8" s="16"/>
      <c r="O8" s="16"/>
      <c r="P8" s="16"/>
      <c r="Q8" s="16"/>
      <c r="R8" s="16"/>
      <c r="S8" s="16"/>
      <c r="T8" s="16"/>
      <c r="U8" s="16"/>
      <c r="V8" s="16"/>
      <c r="W8" s="16"/>
      <c r="X8" s="6"/>
      <c r="Y8" s="6"/>
      <c r="Z8" s="6"/>
    </row>
    <row r="9" spans="1:26" ht="18.75" customHeight="1">
      <c r="A9" s="16"/>
      <c r="B9" s="18" t="s">
        <v>33</v>
      </c>
      <c r="C9" s="117">
        <v>2026</v>
      </c>
      <c r="D9" s="102"/>
      <c r="E9" s="16"/>
      <c r="F9" s="106" t="s">
        <v>34</v>
      </c>
      <c r="G9" s="101"/>
      <c r="H9" s="101"/>
      <c r="I9" s="101"/>
      <c r="J9" s="102"/>
      <c r="K9" s="16"/>
      <c r="L9" s="16"/>
      <c r="M9" s="16"/>
      <c r="N9" s="16"/>
      <c r="O9" s="16"/>
      <c r="P9" s="16"/>
      <c r="Q9" s="16"/>
      <c r="R9" s="16"/>
      <c r="S9" s="16"/>
      <c r="T9" s="16"/>
      <c r="U9" s="16"/>
      <c r="V9" s="16"/>
      <c r="W9" s="16"/>
      <c r="X9" s="6"/>
      <c r="Y9" s="6"/>
      <c r="Z9" s="6"/>
    </row>
    <row r="10" spans="1:26" ht="18.75" customHeight="1">
      <c r="A10" s="16"/>
      <c r="B10" s="18" t="s">
        <v>35</v>
      </c>
      <c r="C10" s="100" t="s">
        <v>36</v>
      </c>
      <c r="D10" s="102"/>
      <c r="E10" s="16"/>
      <c r="F10" s="76" t="s">
        <v>37</v>
      </c>
      <c r="G10" s="100" t="s">
        <v>38</v>
      </c>
      <c r="H10" s="101"/>
      <c r="I10" s="101"/>
      <c r="J10" s="102"/>
      <c r="K10" s="16"/>
      <c r="L10" s="16"/>
      <c r="M10" s="16"/>
      <c r="N10" s="16"/>
      <c r="O10" s="16"/>
      <c r="P10" s="16"/>
      <c r="Q10" s="16"/>
      <c r="R10" s="16"/>
      <c r="S10" s="16"/>
      <c r="T10" s="16"/>
      <c r="U10" s="16"/>
      <c r="V10" s="16"/>
      <c r="W10" s="16"/>
      <c r="X10" s="6"/>
      <c r="Y10" s="6"/>
      <c r="Z10" s="6"/>
    </row>
    <row r="11" spans="1:26" ht="18.75" customHeight="1">
      <c r="A11" s="16"/>
      <c r="B11" s="16"/>
      <c r="C11" s="16"/>
      <c r="D11" s="16"/>
      <c r="E11" s="16"/>
      <c r="F11" s="76" t="s">
        <v>39</v>
      </c>
      <c r="G11" s="100" t="s">
        <v>40</v>
      </c>
      <c r="H11" s="101"/>
      <c r="I11" s="101"/>
      <c r="J11" s="102"/>
      <c r="K11" s="16"/>
      <c r="L11" s="16"/>
      <c r="M11" s="16"/>
      <c r="N11" s="16"/>
      <c r="O11" s="16"/>
      <c r="P11" s="16"/>
      <c r="Q11" s="16"/>
      <c r="R11" s="16"/>
      <c r="S11" s="16"/>
      <c r="T11" s="16"/>
      <c r="U11" s="16"/>
      <c r="V11" s="16"/>
      <c r="W11" s="16"/>
      <c r="X11" s="6"/>
      <c r="Y11" s="6"/>
      <c r="Z11" s="6"/>
    </row>
    <row r="12" spans="1:26" ht="18.75" customHeight="1">
      <c r="A12" s="16"/>
      <c r="B12" s="113" t="s">
        <v>41</v>
      </c>
      <c r="C12" s="88"/>
      <c r="D12" s="88"/>
      <c r="E12" s="16"/>
      <c r="F12" s="76" t="s">
        <v>42</v>
      </c>
      <c r="G12" s="100" t="s">
        <v>43</v>
      </c>
      <c r="H12" s="101"/>
      <c r="I12" s="101"/>
      <c r="J12" s="102"/>
      <c r="K12" s="16"/>
      <c r="L12" s="16"/>
      <c r="M12" s="16"/>
      <c r="N12" s="16"/>
      <c r="O12" s="16"/>
      <c r="P12" s="16"/>
      <c r="Q12" s="16"/>
      <c r="R12" s="16"/>
      <c r="S12" s="16"/>
      <c r="T12" s="16"/>
      <c r="U12" s="16"/>
      <c r="V12" s="16"/>
      <c r="W12" s="16"/>
      <c r="X12" s="6"/>
      <c r="Y12" s="6"/>
      <c r="Z12" s="6"/>
    </row>
    <row r="13" spans="1:26" ht="18.75" customHeight="1">
      <c r="A13" s="16"/>
      <c r="B13" s="18" t="s">
        <v>44</v>
      </c>
      <c r="C13" s="100" t="s">
        <v>45</v>
      </c>
      <c r="D13" s="102"/>
      <c r="E13" s="16"/>
      <c r="F13" s="76" t="s">
        <v>46</v>
      </c>
      <c r="G13" s="100" t="s">
        <v>47</v>
      </c>
      <c r="H13" s="101"/>
      <c r="I13" s="101"/>
      <c r="J13" s="102"/>
      <c r="K13" s="16"/>
      <c r="L13" s="16"/>
      <c r="M13" s="16"/>
      <c r="N13" s="16"/>
      <c r="O13" s="16"/>
      <c r="P13" s="16"/>
      <c r="Q13" s="16"/>
      <c r="R13" s="16"/>
      <c r="S13" s="16"/>
      <c r="T13" s="16"/>
      <c r="U13" s="16"/>
      <c r="V13" s="16"/>
      <c r="W13" s="16"/>
      <c r="X13" s="6"/>
      <c r="Y13" s="6"/>
      <c r="Z13" s="6"/>
    </row>
    <row r="14" spans="1:26" ht="18.75" customHeight="1">
      <c r="A14" s="16"/>
      <c r="B14" s="19" t="s">
        <v>48</v>
      </c>
      <c r="C14" s="107" t="str">
        <f>IFERROR(VLOOKUP(C13,$N$52:$P$60,3,FALSE()),"$")</f>
        <v>$</v>
      </c>
      <c r="D14" s="102"/>
      <c r="E14" s="16"/>
      <c r="F14" s="76" t="s">
        <v>49</v>
      </c>
      <c r="G14" s="100" t="s">
        <v>50</v>
      </c>
      <c r="H14" s="101"/>
      <c r="I14" s="101"/>
      <c r="J14" s="102"/>
      <c r="K14" s="16"/>
      <c r="L14" s="16"/>
      <c r="M14" s="16"/>
      <c r="N14" s="16"/>
      <c r="O14" s="16"/>
      <c r="P14" s="16"/>
      <c r="Q14" s="16"/>
      <c r="R14" s="16"/>
      <c r="S14" s="16"/>
      <c r="T14" s="16"/>
      <c r="U14" s="16"/>
      <c r="V14" s="16"/>
      <c r="W14" s="16"/>
      <c r="X14" s="6"/>
      <c r="Y14" s="6"/>
      <c r="Z14" s="6"/>
    </row>
    <row r="15" spans="1:26" ht="18.75" customHeight="1">
      <c r="A15" s="16"/>
      <c r="B15" s="116" t="s">
        <v>51</v>
      </c>
      <c r="C15" s="88"/>
      <c r="D15" s="88"/>
      <c r="E15" s="16"/>
      <c r="F15" s="76" t="s">
        <v>52</v>
      </c>
      <c r="G15" s="100" t="s">
        <v>53</v>
      </c>
      <c r="H15" s="101"/>
      <c r="I15" s="101"/>
      <c r="J15" s="102"/>
      <c r="K15" s="16"/>
      <c r="L15" s="16"/>
      <c r="M15" s="16"/>
      <c r="N15" s="16"/>
      <c r="O15" s="16"/>
      <c r="P15" s="16"/>
      <c r="Q15" s="16"/>
      <c r="R15" s="16"/>
      <c r="S15" s="16"/>
      <c r="T15" s="16"/>
      <c r="U15" s="16"/>
      <c r="V15" s="16"/>
      <c r="W15" s="16"/>
      <c r="X15" s="6"/>
      <c r="Y15" s="6"/>
      <c r="Z15" s="6"/>
    </row>
    <row r="16" spans="1:26" ht="18.75" customHeight="1">
      <c r="A16" s="16"/>
      <c r="B16" s="16"/>
      <c r="C16" s="16"/>
      <c r="D16" s="16"/>
      <c r="E16" s="16"/>
      <c r="F16" s="76" t="s">
        <v>54</v>
      </c>
      <c r="G16" s="100" t="s">
        <v>55</v>
      </c>
      <c r="H16" s="101"/>
      <c r="I16" s="101"/>
      <c r="J16" s="102"/>
      <c r="K16" s="16"/>
      <c r="L16" s="16"/>
      <c r="M16" s="16"/>
      <c r="N16" s="16"/>
      <c r="O16" s="16"/>
      <c r="P16" s="16"/>
      <c r="Q16" s="16"/>
      <c r="R16" s="16"/>
      <c r="S16" s="16"/>
      <c r="T16" s="16"/>
      <c r="U16" s="16"/>
      <c r="V16" s="16"/>
      <c r="W16" s="16"/>
      <c r="X16" s="6"/>
      <c r="Y16" s="6"/>
      <c r="Z16" s="6"/>
    </row>
    <row r="17" spans="1:26" ht="18.75" customHeight="1">
      <c r="A17" s="16"/>
      <c r="B17" s="113" t="s">
        <v>56</v>
      </c>
      <c r="C17" s="88"/>
      <c r="D17" s="88"/>
      <c r="E17" s="16"/>
      <c r="F17" s="76" t="s">
        <v>57</v>
      </c>
      <c r="G17" s="100" t="s">
        <v>58</v>
      </c>
      <c r="H17" s="101"/>
      <c r="I17" s="101"/>
      <c r="J17" s="102"/>
      <c r="K17" s="16"/>
      <c r="L17" s="16"/>
      <c r="M17" s="16"/>
      <c r="N17" s="16"/>
      <c r="O17" s="16"/>
      <c r="P17" s="16"/>
      <c r="Q17" s="16"/>
      <c r="R17" s="16"/>
      <c r="S17" s="16"/>
      <c r="T17" s="16"/>
      <c r="U17" s="16"/>
      <c r="V17" s="16"/>
      <c r="W17" s="16"/>
      <c r="X17" s="6"/>
      <c r="Y17" s="6"/>
      <c r="Z17" s="6"/>
    </row>
    <row r="18" spans="1:26" ht="26.25" customHeight="1">
      <c r="A18" s="16"/>
      <c r="B18" s="18" t="s">
        <v>59</v>
      </c>
      <c r="C18" s="74"/>
      <c r="D18" s="20" t="s">
        <v>60</v>
      </c>
      <c r="E18" s="16"/>
      <c r="F18" s="76" t="s">
        <v>61</v>
      </c>
      <c r="G18" s="100" t="s">
        <v>62</v>
      </c>
      <c r="H18" s="101"/>
      <c r="I18" s="101"/>
      <c r="J18" s="102"/>
      <c r="K18" s="16"/>
      <c r="L18" s="16"/>
      <c r="M18" s="16"/>
      <c r="N18" s="16"/>
      <c r="O18" s="16"/>
      <c r="P18" s="16"/>
      <c r="Q18" s="16"/>
      <c r="R18" s="16"/>
      <c r="S18" s="16"/>
      <c r="T18" s="16"/>
      <c r="U18" s="16"/>
      <c r="V18" s="16"/>
      <c r="W18" s="16"/>
      <c r="X18" s="6"/>
      <c r="Y18" s="6"/>
      <c r="Z18" s="6"/>
    </row>
    <row r="19" spans="1:26" ht="25.5" customHeight="1">
      <c r="A19" s="16"/>
      <c r="B19" s="18" t="s">
        <v>63</v>
      </c>
      <c r="C19" s="74"/>
      <c r="D19" s="20" t="s">
        <v>64</v>
      </c>
      <c r="E19" s="16"/>
      <c r="F19" s="76" t="s">
        <v>65</v>
      </c>
      <c r="G19" s="100" t="s">
        <v>66</v>
      </c>
      <c r="H19" s="101"/>
      <c r="I19" s="101"/>
      <c r="J19" s="102"/>
      <c r="K19" s="16"/>
      <c r="L19" s="16"/>
      <c r="M19" s="16"/>
      <c r="N19" s="16"/>
      <c r="O19" s="16"/>
      <c r="P19" s="16"/>
      <c r="Q19" s="16"/>
      <c r="R19" s="16"/>
      <c r="S19" s="16"/>
      <c r="T19" s="16"/>
      <c r="U19" s="16"/>
      <c r="V19" s="16"/>
      <c r="W19" s="16"/>
      <c r="X19" s="6"/>
      <c r="Y19" s="6"/>
      <c r="Z19" s="6"/>
    </row>
    <row r="20" spans="1:26" ht="21.75" customHeight="1">
      <c r="A20" s="16"/>
      <c r="B20" s="18" t="s">
        <v>67</v>
      </c>
      <c r="C20" s="75">
        <v>0.5</v>
      </c>
      <c r="D20" s="20" t="s">
        <v>68</v>
      </c>
      <c r="E20" s="16"/>
      <c r="F20" s="16"/>
      <c r="G20" s="16"/>
      <c r="H20" s="16"/>
      <c r="I20" s="16"/>
      <c r="J20" s="16"/>
      <c r="K20" s="16"/>
      <c r="L20" s="16"/>
      <c r="M20" s="16"/>
      <c r="N20" s="16"/>
      <c r="O20" s="16"/>
      <c r="P20" s="16"/>
      <c r="Q20" s="16"/>
      <c r="R20" s="16"/>
      <c r="S20" s="16"/>
      <c r="T20" s="16"/>
      <c r="U20" s="16"/>
      <c r="V20" s="16"/>
      <c r="W20" s="16"/>
      <c r="X20" s="6"/>
      <c r="Y20" s="6"/>
      <c r="Z20" s="6"/>
    </row>
    <row r="21" spans="1:26" ht="23.25" customHeight="1">
      <c r="A21" s="16"/>
      <c r="B21" s="18" t="s">
        <v>69</v>
      </c>
      <c r="C21" s="75">
        <v>0.3</v>
      </c>
      <c r="D21" s="20" t="s">
        <v>70</v>
      </c>
      <c r="E21" s="16"/>
      <c r="F21" s="106" t="s">
        <v>71</v>
      </c>
      <c r="G21" s="101"/>
      <c r="H21" s="101"/>
      <c r="I21" s="101"/>
      <c r="J21" s="102"/>
      <c r="K21" s="16"/>
      <c r="L21" s="16"/>
      <c r="M21" s="16"/>
      <c r="N21" s="16"/>
      <c r="O21" s="16"/>
      <c r="P21" s="16"/>
      <c r="Q21" s="16"/>
      <c r="R21" s="16"/>
      <c r="S21" s="16"/>
      <c r="T21" s="16"/>
      <c r="U21" s="16"/>
      <c r="V21" s="16"/>
      <c r="W21" s="16"/>
      <c r="X21" s="6"/>
      <c r="Y21" s="6"/>
      <c r="Z21" s="6"/>
    </row>
    <row r="22" spans="1:26" ht="18.75" customHeight="1">
      <c r="A22" s="16"/>
      <c r="B22" s="18" t="s">
        <v>72</v>
      </c>
      <c r="C22" s="75">
        <v>0.2</v>
      </c>
      <c r="D22" s="20" t="s">
        <v>73</v>
      </c>
      <c r="E22" s="16"/>
      <c r="F22" s="76" t="s">
        <v>74</v>
      </c>
      <c r="G22" s="100" t="s">
        <v>75</v>
      </c>
      <c r="H22" s="101"/>
      <c r="I22" s="101"/>
      <c r="J22" s="102"/>
      <c r="K22" s="16"/>
      <c r="L22" s="16"/>
      <c r="M22" s="16"/>
      <c r="N22" s="16"/>
      <c r="O22" s="16"/>
      <c r="P22" s="16"/>
      <c r="Q22" s="16"/>
      <c r="R22" s="16"/>
      <c r="S22" s="16"/>
      <c r="T22" s="16"/>
      <c r="U22" s="16"/>
      <c r="V22" s="16"/>
      <c r="W22" s="16"/>
      <c r="X22" s="6"/>
      <c r="Y22" s="6"/>
      <c r="Z22" s="6"/>
    </row>
    <row r="23" spans="1:26" ht="20.25" customHeight="1">
      <c r="A23" s="16"/>
      <c r="B23" s="21" t="s">
        <v>76</v>
      </c>
      <c r="C23" s="115">
        <f>C20+C21+C22</f>
        <v>1</v>
      </c>
      <c r="D23" s="102"/>
      <c r="E23" s="16"/>
      <c r="F23" s="76" t="s">
        <v>77</v>
      </c>
      <c r="G23" s="100" t="s">
        <v>78</v>
      </c>
      <c r="H23" s="101"/>
      <c r="I23" s="101"/>
      <c r="J23" s="102"/>
      <c r="K23" s="16"/>
      <c r="L23" s="16"/>
      <c r="M23" s="16"/>
      <c r="N23" s="16"/>
      <c r="O23" s="16"/>
      <c r="P23" s="16"/>
      <c r="Q23" s="16"/>
      <c r="R23" s="16"/>
      <c r="S23" s="16"/>
      <c r="T23" s="16"/>
      <c r="U23" s="16"/>
      <c r="V23" s="16"/>
      <c r="W23" s="16"/>
      <c r="X23" s="6"/>
      <c r="Y23" s="6"/>
      <c r="Z23" s="6"/>
    </row>
    <row r="24" spans="1:26" ht="20.25" customHeight="1">
      <c r="A24" s="16"/>
      <c r="B24" s="116" t="s">
        <v>79</v>
      </c>
      <c r="C24" s="88"/>
      <c r="D24" s="88"/>
      <c r="E24" s="16"/>
      <c r="F24" s="76" t="s">
        <v>80</v>
      </c>
      <c r="G24" s="100" t="s">
        <v>81</v>
      </c>
      <c r="H24" s="101"/>
      <c r="I24" s="101"/>
      <c r="J24" s="102"/>
      <c r="K24" s="16"/>
      <c r="L24" s="16"/>
      <c r="M24" s="16"/>
      <c r="N24" s="16"/>
      <c r="O24" s="16"/>
      <c r="P24" s="16"/>
      <c r="Q24" s="16"/>
      <c r="R24" s="16"/>
      <c r="S24" s="16"/>
      <c r="T24" s="16"/>
      <c r="U24" s="16"/>
      <c r="V24" s="16"/>
      <c r="W24" s="16"/>
      <c r="X24" s="6"/>
      <c r="Y24" s="6"/>
      <c r="Z24" s="6"/>
    </row>
    <row r="25" spans="1:26" ht="23.25" customHeight="1">
      <c r="A25" s="16"/>
      <c r="B25" s="112" t="s">
        <v>82</v>
      </c>
      <c r="C25" s="88"/>
      <c r="D25" s="88"/>
      <c r="E25" s="16"/>
      <c r="F25" s="76" t="s">
        <v>83</v>
      </c>
      <c r="G25" s="100" t="s">
        <v>84</v>
      </c>
      <c r="H25" s="101"/>
      <c r="I25" s="101"/>
      <c r="J25" s="102"/>
      <c r="K25" s="16"/>
      <c r="L25" s="16"/>
      <c r="M25" s="16"/>
      <c r="N25" s="16"/>
      <c r="O25" s="16"/>
      <c r="P25" s="16"/>
      <c r="Q25" s="16"/>
      <c r="R25" s="16"/>
      <c r="S25" s="16"/>
      <c r="T25" s="16"/>
      <c r="U25" s="16"/>
      <c r="V25" s="16"/>
      <c r="W25" s="16"/>
      <c r="X25" s="6"/>
      <c r="Y25" s="6"/>
      <c r="Z25" s="6"/>
    </row>
    <row r="26" spans="1:26" ht="18.75" customHeight="1">
      <c r="A26" s="16"/>
      <c r="B26" s="16"/>
      <c r="C26" s="16"/>
      <c r="D26" s="16"/>
      <c r="E26" s="16"/>
      <c r="F26" s="76" t="s">
        <v>85</v>
      </c>
      <c r="G26" s="100" t="s">
        <v>86</v>
      </c>
      <c r="H26" s="101"/>
      <c r="I26" s="101"/>
      <c r="J26" s="102"/>
      <c r="K26" s="16"/>
      <c r="L26" s="16"/>
      <c r="M26" s="16"/>
      <c r="N26" s="16"/>
      <c r="O26" s="16"/>
      <c r="P26" s="16"/>
      <c r="Q26" s="16"/>
      <c r="R26" s="16"/>
      <c r="S26" s="16"/>
      <c r="T26" s="16"/>
      <c r="U26" s="16"/>
      <c r="V26" s="16"/>
      <c r="W26" s="16"/>
      <c r="X26" s="6"/>
      <c r="Y26" s="6"/>
      <c r="Z26" s="6"/>
    </row>
    <row r="27" spans="1:26" ht="18.75" customHeight="1">
      <c r="A27" s="16"/>
      <c r="B27" s="113" t="s">
        <v>87</v>
      </c>
      <c r="C27" s="88"/>
      <c r="D27" s="88"/>
      <c r="E27" s="16"/>
      <c r="F27" s="76" t="s">
        <v>88</v>
      </c>
      <c r="G27" s="100" t="s">
        <v>89</v>
      </c>
      <c r="H27" s="101"/>
      <c r="I27" s="101"/>
      <c r="J27" s="102"/>
      <c r="K27" s="16"/>
      <c r="L27" s="16"/>
      <c r="M27" s="16"/>
      <c r="N27" s="16"/>
      <c r="O27" s="16"/>
      <c r="P27" s="16"/>
      <c r="Q27" s="16"/>
      <c r="R27" s="16"/>
      <c r="S27" s="16"/>
      <c r="T27" s="16"/>
      <c r="U27" s="16"/>
      <c r="V27" s="16"/>
      <c r="W27" s="16"/>
      <c r="X27" s="6"/>
      <c r="Y27" s="6"/>
      <c r="Z27" s="6"/>
    </row>
    <row r="28" spans="1:26" ht="18.75" customHeight="1">
      <c r="A28" s="16"/>
      <c r="B28" s="108" t="s">
        <v>270</v>
      </c>
      <c r="C28" s="109"/>
      <c r="D28" s="109"/>
      <c r="E28" s="16"/>
      <c r="F28" s="76" t="s">
        <v>20</v>
      </c>
      <c r="G28" s="100" t="s">
        <v>21</v>
      </c>
      <c r="H28" s="101"/>
      <c r="I28" s="101"/>
      <c r="J28" s="102"/>
      <c r="K28" s="16"/>
      <c r="L28" s="16"/>
      <c r="M28" s="16"/>
      <c r="N28" s="16"/>
      <c r="O28" s="16"/>
      <c r="P28" s="16"/>
      <c r="Q28" s="16"/>
      <c r="R28" s="16"/>
      <c r="S28" s="16"/>
      <c r="T28" s="16"/>
      <c r="U28" s="16"/>
      <c r="V28" s="16"/>
      <c r="W28" s="16"/>
      <c r="X28" s="6"/>
      <c r="Y28" s="6"/>
      <c r="Z28" s="6"/>
    </row>
    <row r="29" spans="1:26" ht="22.5" customHeight="1">
      <c r="A29" s="16"/>
      <c r="B29" s="110"/>
      <c r="C29" s="111"/>
      <c r="D29" s="111"/>
      <c r="E29" s="16"/>
      <c r="F29" s="76" t="s">
        <v>90</v>
      </c>
      <c r="G29" s="100" t="s">
        <v>91</v>
      </c>
      <c r="H29" s="101"/>
      <c r="I29" s="101"/>
      <c r="J29" s="102"/>
      <c r="K29" s="16"/>
      <c r="L29" s="16"/>
      <c r="M29" s="16"/>
      <c r="N29" s="16"/>
      <c r="O29" s="16"/>
      <c r="P29" s="16"/>
      <c r="Q29" s="16"/>
      <c r="R29" s="16"/>
      <c r="S29" s="16"/>
      <c r="T29" s="16"/>
      <c r="U29" s="16"/>
      <c r="V29" s="16"/>
      <c r="W29" s="16"/>
      <c r="X29" s="6"/>
      <c r="Y29" s="6"/>
      <c r="Z29" s="6"/>
    </row>
    <row r="30" spans="1:26" ht="18.75" customHeight="1">
      <c r="A30" s="16"/>
      <c r="B30" s="18" t="s">
        <v>92</v>
      </c>
      <c r="C30" s="100" t="s">
        <v>93</v>
      </c>
      <c r="D30" s="102"/>
      <c r="E30" s="16"/>
      <c r="F30" s="76" t="s">
        <v>94</v>
      </c>
      <c r="G30" s="100" t="s">
        <v>95</v>
      </c>
      <c r="H30" s="101"/>
      <c r="I30" s="101"/>
      <c r="J30" s="102"/>
      <c r="K30" s="16"/>
      <c r="L30" s="16"/>
      <c r="M30" s="16"/>
      <c r="N30" s="16"/>
      <c r="O30" s="16"/>
      <c r="P30" s="16"/>
      <c r="Q30" s="16"/>
      <c r="R30" s="16"/>
      <c r="S30" s="16"/>
      <c r="T30" s="16"/>
      <c r="U30" s="16"/>
      <c r="V30" s="16"/>
      <c r="W30" s="16"/>
      <c r="X30" s="6"/>
      <c r="Y30" s="6"/>
      <c r="Z30" s="6"/>
    </row>
    <row r="31" spans="1:26" ht="21.75" customHeight="1">
      <c r="A31" s="16"/>
      <c r="B31" s="18" t="s">
        <v>271</v>
      </c>
      <c r="C31" s="114">
        <v>1560</v>
      </c>
      <c r="D31" s="102"/>
      <c r="E31" s="16"/>
      <c r="F31" s="16"/>
      <c r="G31" s="16"/>
      <c r="H31" s="16"/>
      <c r="I31" s="16"/>
      <c r="J31" s="16"/>
      <c r="K31" s="16"/>
      <c r="L31" s="16"/>
      <c r="M31" s="16"/>
      <c r="N31" s="16"/>
      <c r="O31" s="16"/>
      <c r="P31" s="16"/>
      <c r="Q31" s="16"/>
      <c r="R31" s="16"/>
      <c r="S31" s="16"/>
      <c r="T31" s="16"/>
      <c r="U31" s="16"/>
      <c r="V31" s="16"/>
      <c r="W31" s="16"/>
      <c r="X31" s="6"/>
      <c r="Y31" s="6"/>
      <c r="Z31" s="6"/>
    </row>
    <row r="32" spans="1:26" ht="25.5" customHeight="1">
      <c r="A32" s="16"/>
      <c r="B32" s="19" t="s">
        <v>96</v>
      </c>
      <c r="C32" s="107" t="str">
        <f>IFERROR(VLOOKUP(C30,$N$52:$P$60,3,FALSE()),"$")</f>
        <v>US$</v>
      </c>
      <c r="D32" s="102"/>
      <c r="E32" s="16"/>
      <c r="F32" s="106" t="s">
        <v>97</v>
      </c>
      <c r="G32" s="101"/>
      <c r="H32" s="101"/>
      <c r="I32" s="101"/>
      <c r="J32" s="102"/>
      <c r="K32" s="16"/>
      <c r="L32" s="16"/>
      <c r="M32" s="16"/>
      <c r="N32" s="16"/>
      <c r="O32" s="16"/>
      <c r="P32" s="16"/>
      <c r="Q32" s="16"/>
      <c r="R32" s="16"/>
      <c r="S32" s="16"/>
      <c r="T32" s="16"/>
      <c r="U32" s="16"/>
      <c r="V32" s="16"/>
      <c r="W32" s="16"/>
      <c r="X32" s="6"/>
      <c r="Y32" s="6"/>
      <c r="Z32" s="6"/>
    </row>
    <row r="33" spans="1:26" ht="18.75" customHeight="1">
      <c r="A33" s="16"/>
      <c r="B33" s="103" t="s">
        <v>98</v>
      </c>
      <c r="C33" s="88"/>
      <c r="D33" s="88"/>
      <c r="E33" s="16"/>
      <c r="F33" s="76" t="s">
        <v>57</v>
      </c>
      <c r="G33" s="100" t="s">
        <v>99</v>
      </c>
      <c r="H33" s="101"/>
      <c r="I33" s="101"/>
      <c r="J33" s="102"/>
      <c r="K33" s="16"/>
      <c r="L33" s="16"/>
      <c r="M33" s="16"/>
      <c r="N33" s="16"/>
      <c r="O33" s="16"/>
      <c r="P33" s="16"/>
      <c r="Q33" s="16"/>
      <c r="R33" s="16"/>
      <c r="S33" s="16"/>
      <c r="T33" s="16"/>
      <c r="U33" s="16"/>
      <c r="V33" s="16"/>
      <c r="W33" s="16"/>
      <c r="X33" s="6"/>
      <c r="Y33" s="6"/>
      <c r="Z33" s="6"/>
    </row>
    <row r="34" spans="1:26" ht="30.75" customHeight="1">
      <c r="A34" s="16"/>
      <c r="B34" s="18" t="s">
        <v>100</v>
      </c>
      <c r="C34" s="104"/>
      <c r="D34" s="102"/>
      <c r="E34" s="16"/>
      <c r="F34" s="76" t="s">
        <v>22</v>
      </c>
      <c r="G34" s="100" t="s">
        <v>101</v>
      </c>
      <c r="H34" s="101"/>
      <c r="I34" s="101"/>
      <c r="J34" s="102"/>
      <c r="K34" s="16"/>
      <c r="L34" s="16"/>
      <c r="M34" s="16"/>
      <c r="N34" s="16"/>
      <c r="O34" s="16"/>
      <c r="P34" s="16"/>
      <c r="Q34" s="16"/>
      <c r="R34" s="16"/>
      <c r="S34" s="16"/>
      <c r="T34" s="16"/>
      <c r="U34" s="16"/>
      <c r="V34" s="16"/>
      <c r="W34" s="16"/>
      <c r="X34" s="6"/>
      <c r="Y34" s="6"/>
      <c r="Z34" s="6"/>
    </row>
    <row r="35" spans="1:26" ht="28.5" customHeight="1">
      <c r="A35" s="16"/>
      <c r="B35" s="22" t="s">
        <v>102</v>
      </c>
      <c r="C35" s="105">
        <f>IFERROR(C34/C31,0)</f>
        <v>0</v>
      </c>
      <c r="D35" s="102"/>
      <c r="E35" s="16"/>
      <c r="F35" s="76" t="s">
        <v>25</v>
      </c>
      <c r="G35" s="100" t="s">
        <v>103</v>
      </c>
      <c r="H35" s="101"/>
      <c r="I35" s="101"/>
      <c r="J35" s="102"/>
      <c r="K35" s="16"/>
      <c r="L35" s="16"/>
      <c r="M35" s="16"/>
      <c r="N35" s="16"/>
      <c r="O35" s="16"/>
      <c r="P35" s="16"/>
      <c r="Q35" s="16"/>
      <c r="R35" s="16"/>
      <c r="S35" s="16"/>
      <c r="T35" s="16"/>
      <c r="U35" s="16"/>
      <c r="V35" s="16"/>
      <c r="W35" s="16"/>
      <c r="X35" s="6"/>
      <c r="Y35" s="6"/>
      <c r="Z35" s="6"/>
    </row>
    <row r="36" spans="1:26" ht="18.75" customHeight="1">
      <c r="A36" s="16"/>
      <c r="B36" s="108" t="s">
        <v>104</v>
      </c>
      <c r="C36" s="109"/>
      <c r="D36" s="109"/>
      <c r="E36" s="16"/>
      <c r="F36" s="76" t="s">
        <v>23</v>
      </c>
      <c r="G36" s="100" t="s">
        <v>105</v>
      </c>
      <c r="H36" s="101"/>
      <c r="I36" s="101"/>
      <c r="J36" s="102"/>
      <c r="K36" s="16"/>
      <c r="L36" s="16"/>
      <c r="M36" s="16"/>
      <c r="N36" s="16"/>
      <c r="O36" s="16"/>
      <c r="P36" s="16"/>
      <c r="Q36" s="16"/>
      <c r="R36" s="16"/>
      <c r="S36" s="16"/>
      <c r="T36" s="16"/>
      <c r="U36" s="16"/>
      <c r="V36" s="16"/>
      <c r="W36" s="16"/>
      <c r="X36" s="6"/>
      <c r="Y36" s="6"/>
      <c r="Z36" s="6"/>
    </row>
    <row r="37" spans="1:26" ht="20.25" customHeight="1">
      <c r="A37" s="16"/>
      <c r="B37" s="110"/>
      <c r="C37" s="111"/>
      <c r="D37" s="111"/>
      <c r="E37" s="16"/>
      <c r="F37" s="16"/>
      <c r="G37" s="16"/>
      <c r="H37" s="16"/>
      <c r="I37" s="16"/>
      <c r="J37" s="16"/>
      <c r="K37" s="16"/>
      <c r="L37" s="16"/>
      <c r="M37" s="16"/>
      <c r="N37" s="16"/>
      <c r="O37" s="16"/>
      <c r="P37" s="16"/>
      <c r="Q37" s="16"/>
      <c r="R37" s="16"/>
      <c r="S37" s="16"/>
      <c r="T37" s="16"/>
      <c r="U37" s="16"/>
      <c r="V37" s="16"/>
      <c r="W37" s="16"/>
      <c r="X37" s="6"/>
      <c r="Y37" s="6"/>
      <c r="Z37" s="6"/>
    </row>
    <row r="38" spans="1:26" ht="18.75" customHeight="1">
      <c r="A38" s="16"/>
      <c r="B38" s="16"/>
      <c r="C38" s="16"/>
      <c r="D38" s="16"/>
      <c r="E38" s="16"/>
      <c r="F38" s="106" t="s">
        <v>106</v>
      </c>
      <c r="G38" s="101"/>
      <c r="H38" s="101"/>
      <c r="I38" s="101"/>
      <c r="J38" s="102"/>
      <c r="K38" s="16"/>
      <c r="L38" s="16"/>
      <c r="M38" s="16"/>
      <c r="N38" s="16"/>
      <c r="O38" s="16"/>
      <c r="P38" s="16"/>
      <c r="Q38" s="16"/>
      <c r="R38" s="16"/>
      <c r="S38" s="16"/>
      <c r="T38" s="16"/>
      <c r="U38" s="16"/>
      <c r="V38" s="16"/>
      <c r="W38" s="16"/>
      <c r="X38" s="6"/>
      <c r="Y38" s="6"/>
      <c r="Z38" s="6"/>
    </row>
    <row r="39" spans="1:26" ht="18.75" customHeight="1">
      <c r="A39" s="16"/>
      <c r="B39" s="16"/>
      <c r="C39" s="16"/>
      <c r="D39" s="16"/>
      <c r="E39" s="16"/>
      <c r="F39" s="76" t="s">
        <v>61</v>
      </c>
      <c r="G39" s="100" t="s">
        <v>107</v>
      </c>
      <c r="H39" s="101"/>
      <c r="I39" s="101"/>
      <c r="J39" s="102"/>
      <c r="K39" s="16"/>
      <c r="L39" s="16"/>
      <c r="M39" s="16"/>
      <c r="N39" s="16"/>
      <c r="O39" s="16"/>
      <c r="P39" s="16"/>
      <c r="Q39" s="16"/>
      <c r="R39" s="16"/>
      <c r="S39" s="16"/>
      <c r="T39" s="16"/>
      <c r="U39" s="16"/>
      <c r="V39" s="16"/>
      <c r="W39" s="16"/>
      <c r="X39" s="6"/>
      <c r="Y39" s="6"/>
      <c r="Z39" s="6"/>
    </row>
    <row r="40" spans="1:26" ht="18.75" customHeight="1">
      <c r="A40" s="16"/>
      <c r="B40" s="16"/>
      <c r="C40" s="16"/>
      <c r="D40" s="16"/>
      <c r="E40" s="16"/>
      <c r="F40" s="76" t="s">
        <v>108</v>
      </c>
      <c r="G40" s="100" t="s">
        <v>109</v>
      </c>
      <c r="H40" s="101"/>
      <c r="I40" s="101"/>
      <c r="J40" s="102"/>
      <c r="K40" s="16"/>
      <c r="L40" s="16"/>
      <c r="M40" s="16"/>
      <c r="N40" s="16"/>
      <c r="O40" s="16"/>
      <c r="P40" s="16"/>
      <c r="Q40" s="16"/>
      <c r="R40" s="16"/>
      <c r="S40" s="16"/>
      <c r="T40" s="16"/>
      <c r="U40" s="16"/>
      <c r="V40" s="16"/>
      <c r="W40" s="16"/>
      <c r="X40" s="6"/>
      <c r="Y40" s="6"/>
      <c r="Z40" s="6"/>
    </row>
    <row r="41" spans="1:26" ht="18.75" customHeight="1">
      <c r="A41" s="16"/>
      <c r="B41" s="16"/>
      <c r="C41" s="16"/>
      <c r="D41" s="16"/>
      <c r="E41" s="16"/>
      <c r="F41" s="76" t="s">
        <v>110</v>
      </c>
      <c r="G41" s="100" t="s">
        <v>111</v>
      </c>
      <c r="H41" s="101"/>
      <c r="I41" s="101"/>
      <c r="J41" s="102"/>
      <c r="K41" s="16"/>
      <c r="L41" s="16"/>
      <c r="M41" s="16"/>
      <c r="N41" s="16"/>
      <c r="O41" s="16"/>
      <c r="P41" s="16"/>
      <c r="Q41" s="16"/>
      <c r="R41" s="16"/>
      <c r="S41" s="16"/>
      <c r="T41" s="16"/>
      <c r="U41" s="16"/>
      <c r="V41" s="16"/>
      <c r="W41" s="16"/>
      <c r="X41" s="6"/>
      <c r="Y41" s="6"/>
      <c r="Z41" s="6"/>
    </row>
    <row r="42" spans="1:26" ht="18.75" customHeight="1">
      <c r="A42" s="16"/>
      <c r="B42" s="16"/>
      <c r="C42" s="16"/>
      <c r="D42" s="16"/>
      <c r="E42" s="16"/>
      <c r="F42" s="76" t="s">
        <v>88</v>
      </c>
      <c r="G42" s="100" t="s">
        <v>112</v>
      </c>
      <c r="H42" s="101"/>
      <c r="I42" s="101"/>
      <c r="J42" s="102"/>
      <c r="K42" s="16"/>
      <c r="L42" s="16"/>
      <c r="M42" s="16"/>
      <c r="N42" s="16"/>
      <c r="O42" s="16"/>
      <c r="P42" s="16"/>
      <c r="Q42" s="16"/>
      <c r="R42" s="16"/>
      <c r="S42" s="16"/>
      <c r="T42" s="16"/>
      <c r="U42" s="16"/>
      <c r="V42" s="16"/>
      <c r="W42" s="16"/>
      <c r="X42" s="6"/>
      <c r="Y42" s="6"/>
      <c r="Z42" s="6"/>
    </row>
    <row r="43" spans="1:26" ht="18.75" customHeight="1">
      <c r="A43" s="16"/>
      <c r="B43" s="16"/>
      <c r="C43" s="16"/>
      <c r="D43" s="16"/>
      <c r="E43" s="16"/>
      <c r="F43" s="76" t="s">
        <v>25</v>
      </c>
      <c r="G43" s="100" t="s">
        <v>113</v>
      </c>
      <c r="H43" s="101"/>
      <c r="I43" s="101"/>
      <c r="J43" s="102"/>
      <c r="K43" s="16"/>
      <c r="L43" s="16"/>
      <c r="M43" s="16"/>
      <c r="N43" s="16"/>
      <c r="O43" s="16"/>
      <c r="P43" s="16"/>
      <c r="Q43" s="16"/>
      <c r="R43" s="16"/>
      <c r="S43" s="16"/>
      <c r="T43" s="16"/>
      <c r="U43" s="16"/>
      <c r="V43" s="16"/>
      <c r="W43" s="16"/>
      <c r="X43" s="6"/>
      <c r="Y43" s="6"/>
      <c r="Z43" s="6"/>
    </row>
    <row r="44" spans="1:26" ht="18.75" customHeight="1">
      <c r="A44" s="16"/>
      <c r="B44" s="16"/>
      <c r="C44" s="16"/>
      <c r="D44" s="16"/>
      <c r="E44" s="16"/>
      <c r="F44" s="76" t="s">
        <v>114</v>
      </c>
      <c r="G44" s="100" t="s">
        <v>115</v>
      </c>
      <c r="H44" s="101"/>
      <c r="I44" s="101"/>
      <c r="J44" s="102"/>
      <c r="K44" s="16"/>
      <c r="L44" s="16"/>
      <c r="M44" s="16"/>
      <c r="N44" s="16"/>
      <c r="O44" s="16"/>
      <c r="P44" s="16"/>
      <c r="Q44" s="16"/>
      <c r="R44" s="16"/>
      <c r="S44" s="16"/>
      <c r="T44" s="16"/>
      <c r="U44" s="16"/>
      <c r="V44" s="16"/>
      <c r="W44" s="16"/>
      <c r="X44" s="6"/>
      <c r="Y44" s="6"/>
      <c r="Z44" s="6"/>
    </row>
    <row r="45" spans="1:26"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6"/>
      <c r="Y45" s="6"/>
      <c r="Z45" s="6"/>
    </row>
    <row r="46" spans="1:26" ht="13.5" customHeight="1">
      <c r="A46" s="16"/>
      <c r="B46" s="16"/>
      <c r="C46" s="16"/>
      <c r="D46" s="16"/>
      <c r="E46" s="16"/>
      <c r="F46" s="16"/>
      <c r="G46" s="16"/>
      <c r="H46" s="16"/>
      <c r="I46" s="16"/>
      <c r="J46" s="16"/>
      <c r="K46" s="16"/>
      <c r="L46" s="16"/>
      <c r="M46" s="16"/>
      <c r="N46" s="16"/>
      <c r="O46" s="16"/>
      <c r="P46" s="16"/>
      <c r="Q46" s="16"/>
      <c r="R46" s="16"/>
      <c r="S46" s="16"/>
      <c r="T46" s="16"/>
      <c r="U46" s="16"/>
      <c r="V46" s="16"/>
      <c r="W46" s="16"/>
      <c r="X46" s="6"/>
      <c r="Y46" s="6"/>
      <c r="Z46" s="6"/>
    </row>
    <row r="47" spans="1:26" ht="13.5" customHeight="1">
      <c r="A47" s="16"/>
      <c r="B47" s="16"/>
      <c r="C47" s="16"/>
      <c r="D47" s="16"/>
      <c r="E47" s="16"/>
      <c r="F47" s="16"/>
      <c r="G47" s="16"/>
      <c r="H47" s="16"/>
      <c r="I47" s="16"/>
      <c r="J47" s="16"/>
      <c r="K47" s="16"/>
      <c r="L47" s="16"/>
      <c r="M47" s="16"/>
      <c r="N47" s="16"/>
      <c r="O47" s="16"/>
      <c r="P47" s="16"/>
      <c r="Q47" s="16"/>
      <c r="R47" s="16"/>
      <c r="S47" s="16"/>
      <c r="T47" s="16"/>
      <c r="U47" s="16"/>
      <c r="V47" s="16"/>
      <c r="W47" s="16"/>
      <c r="X47" s="6"/>
      <c r="Y47" s="6"/>
      <c r="Z47" s="6"/>
    </row>
    <row r="48" spans="1:26" ht="13.5" customHeight="1">
      <c r="A48" s="16"/>
      <c r="B48" s="16"/>
      <c r="C48" s="16"/>
      <c r="D48" s="16"/>
      <c r="E48" s="16"/>
      <c r="F48" s="16"/>
      <c r="G48" s="16"/>
      <c r="H48" s="16"/>
      <c r="I48" s="16"/>
      <c r="J48" s="16"/>
      <c r="K48" s="16"/>
      <c r="L48" s="16"/>
      <c r="M48" s="16"/>
      <c r="N48" s="16"/>
      <c r="O48" s="16"/>
      <c r="P48" s="16"/>
      <c r="Q48" s="16"/>
      <c r="R48" s="16"/>
      <c r="S48" s="16"/>
      <c r="T48" s="16"/>
      <c r="U48" s="16"/>
      <c r="V48" s="16"/>
      <c r="W48" s="16"/>
      <c r="X48" s="6"/>
      <c r="Y48" s="6"/>
      <c r="Z48" s="6"/>
    </row>
    <row r="49" spans="1:26" ht="13.5" customHeight="1">
      <c r="A49" s="16"/>
      <c r="B49" s="16"/>
      <c r="C49" s="16"/>
      <c r="D49" s="16"/>
      <c r="E49" s="16"/>
      <c r="F49" s="16"/>
      <c r="G49" s="16"/>
      <c r="H49" s="16"/>
      <c r="I49" s="16"/>
      <c r="J49" s="16"/>
      <c r="K49" s="16"/>
      <c r="L49" s="16"/>
      <c r="M49" s="16"/>
      <c r="N49" s="16"/>
      <c r="O49" s="16"/>
      <c r="P49" s="16"/>
      <c r="Q49" s="16"/>
      <c r="R49" s="16"/>
      <c r="S49" s="16"/>
      <c r="T49" s="16"/>
      <c r="U49" s="16"/>
      <c r="V49" s="16"/>
      <c r="W49" s="16"/>
      <c r="X49" s="6"/>
      <c r="Y49" s="6"/>
      <c r="Z49" s="6"/>
    </row>
    <row r="50" spans="1:26" ht="13.5" customHeight="1">
      <c r="A50" s="16"/>
      <c r="B50" s="16"/>
      <c r="C50" s="16"/>
      <c r="D50" s="16"/>
      <c r="E50" s="16"/>
      <c r="F50" s="16"/>
      <c r="G50" s="16"/>
      <c r="H50" s="16"/>
      <c r="I50" s="16"/>
      <c r="J50" s="16"/>
      <c r="K50" s="16"/>
      <c r="L50" s="16"/>
      <c r="M50" s="16"/>
      <c r="N50" s="23" t="s">
        <v>116</v>
      </c>
      <c r="O50" s="16"/>
      <c r="P50" s="16"/>
      <c r="Q50" s="16"/>
      <c r="R50" s="16"/>
      <c r="S50" s="16"/>
      <c r="T50" s="16"/>
      <c r="U50" s="16"/>
      <c r="V50" s="16"/>
      <c r="W50" s="16"/>
      <c r="X50" s="6"/>
      <c r="Y50" s="6"/>
      <c r="Z50" s="6"/>
    </row>
    <row r="51" spans="1:26" ht="13.5" customHeight="1">
      <c r="A51" s="16"/>
      <c r="B51" s="16"/>
      <c r="C51" s="16"/>
      <c r="D51" s="16"/>
      <c r="E51" s="16"/>
      <c r="F51" s="16"/>
      <c r="G51" s="16"/>
      <c r="H51" s="16"/>
      <c r="I51" s="16"/>
      <c r="J51" s="16"/>
      <c r="K51" s="16"/>
      <c r="L51" s="16"/>
      <c r="M51" s="16"/>
      <c r="N51" s="24" t="s">
        <v>117</v>
      </c>
      <c r="O51" s="24" t="s">
        <v>118</v>
      </c>
      <c r="P51" s="24" t="s">
        <v>119</v>
      </c>
      <c r="Q51" s="16"/>
      <c r="R51" s="16"/>
      <c r="S51" s="16"/>
      <c r="T51" s="16"/>
      <c r="U51" s="16"/>
      <c r="V51" s="16"/>
      <c r="W51" s="16"/>
      <c r="X51" s="6"/>
      <c r="Y51" s="6"/>
      <c r="Z51" s="6"/>
    </row>
    <row r="52" spans="1:26" ht="13.5" customHeight="1">
      <c r="A52" s="16"/>
      <c r="B52" s="16"/>
      <c r="C52" s="16"/>
      <c r="D52" s="16"/>
      <c r="E52" s="16"/>
      <c r="F52" s="16"/>
      <c r="G52" s="16"/>
      <c r="H52" s="16"/>
      <c r="I52" s="16"/>
      <c r="J52" s="16"/>
      <c r="K52" s="16"/>
      <c r="L52" s="16"/>
      <c r="M52" s="16"/>
      <c r="N52" s="25" t="s">
        <v>45</v>
      </c>
      <c r="O52" s="25" t="s">
        <v>120</v>
      </c>
      <c r="P52" s="25" t="s">
        <v>121</v>
      </c>
      <c r="Q52" s="16"/>
      <c r="R52" s="16"/>
      <c r="S52" s="16"/>
      <c r="T52" s="16"/>
      <c r="U52" s="16"/>
      <c r="V52" s="16"/>
      <c r="W52" s="16"/>
      <c r="X52" s="6"/>
      <c r="Y52" s="6"/>
      <c r="Z52" s="6"/>
    </row>
    <row r="53" spans="1:26" ht="13.5" customHeight="1">
      <c r="A53" s="16"/>
      <c r="B53" s="16"/>
      <c r="C53" s="16"/>
      <c r="D53" s="16"/>
      <c r="E53" s="16"/>
      <c r="F53" s="16"/>
      <c r="G53" s="16"/>
      <c r="H53" s="16"/>
      <c r="I53" s="16"/>
      <c r="J53" s="16"/>
      <c r="K53" s="16"/>
      <c r="L53" s="16"/>
      <c r="M53" s="16"/>
      <c r="N53" s="25" t="s">
        <v>93</v>
      </c>
      <c r="O53" s="25" t="s">
        <v>122</v>
      </c>
      <c r="P53" s="25" t="s">
        <v>123</v>
      </c>
      <c r="Q53" s="16"/>
      <c r="R53" s="16"/>
      <c r="S53" s="16"/>
      <c r="T53" s="16"/>
      <c r="U53" s="16"/>
      <c r="V53" s="16"/>
      <c r="W53" s="16"/>
      <c r="X53" s="6"/>
      <c r="Y53" s="6"/>
      <c r="Z53" s="6"/>
    </row>
    <row r="54" spans="1:26" ht="13.5" customHeight="1">
      <c r="A54" s="16"/>
      <c r="B54" s="16"/>
      <c r="C54" s="16"/>
      <c r="D54" s="16"/>
      <c r="E54" s="16"/>
      <c r="F54" s="16"/>
      <c r="G54" s="16"/>
      <c r="H54" s="16"/>
      <c r="I54" s="16"/>
      <c r="J54" s="16"/>
      <c r="K54" s="16"/>
      <c r="L54" s="16"/>
      <c r="M54" s="16"/>
      <c r="N54" s="25" t="s">
        <v>124</v>
      </c>
      <c r="O54" s="25" t="s">
        <v>125</v>
      </c>
      <c r="P54" s="25" t="s">
        <v>126</v>
      </c>
      <c r="Q54" s="16"/>
      <c r="R54" s="16"/>
      <c r="S54" s="16"/>
      <c r="T54" s="16"/>
      <c r="U54" s="16"/>
      <c r="V54" s="16"/>
      <c r="W54" s="16"/>
      <c r="X54" s="6"/>
      <c r="Y54" s="6"/>
      <c r="Z54" s="6"/>
    </row>
    <row r="55" spans="1:26" ht="13.5" customHeight="1">
      <c r="A55" s="16"/>
      <c r="B55" s="16"/>
      <c r="C55" s="16"/>
      <c r="D55" s="16"/>
      <c r="E55" s="16"/>
      <c r="F55" s="16"/>
      <c r="G55" s="16"/>
      <c r="H55" s="16"/>
      <c r="I55" s="16"/>
      <c r="J55" s="16"/>
      <c r="K55" s="16"/>
      <c r="L55" s="16"/>
      <c r="M55" s="16"/>
      <c r="N55" s="25" t="s">
        <v>127</v>
      </c>
      <c r="O55" s="25" t="s">
        <v>128</v>
      </c>
      <c r="P55" s="25" t="s">
        <v>129</v>
      </c>
      <c r="Q55" s="16"/>
      <c r="R55" s="16"/>
      <c r="S55" s="16"/>
      <c r="T55" s="16"/>
      <c r="U55" s="16"/>
      <c r="V55" s="16"/>
      <c r="W55" s="16"/>
      <c r="X55" s="6"/>
      <c r="Y55" s="6"/>
      <c r="Z55" s="6"/>
    </row>
    <row r="56" spans="1:26" ht="13.5" customHeight="1">
      <c r="A56" s="16"/>
      <c r="B56" s="16"/>
      <c r="C56" s="16"/>
      <c r="D56" s="16"/>
      <c r="E56" s="16"/>
      <c r="F56" s="16"/>
      <c r="G56" s="16"/>
      <c r="H56" s="16"/>
      <c r="I56" s="16"/>
      <c r="J56" s="16"/>
      <c r="K56" s="16"/>
      <c r="L56" s="16"/>
      <c r="M56" s="16"/>
      <c r="N56" s="25" t="s">
        <v>130</v>
      </c>
      <c r="O56" s="25" t="s">
        <v>131</v>
      </c>
      <c r="P56" s="25" t="s">
        <v>132</v>
      </c>
      <c r="Q56" s="16"/>
      <c r="R56" s="16"/>
      <c r="S56" s="16"/>
      <c r="T56" s="16"/>
      <c r="U56" s="16"/>
      <c r="V56" s="16"/>
      <c r="W56" s="16"/>
      <c r="X56" s="6"/>
      <c r="Y56" s="6"/>
      <c r="Z56" s="6"/>
    </row>
    <row r="57" spans="1:26" ht="13.5" customHeight="1">
      <c r="A57" s="16"/>
      <c r="B57" s="16"/>
      <c r="C57" s="16"/>
      <c r="D57" s="16"/>
      <c r="E57" s="16"/>
      <c r="F57" s="16"/>
      <c r="G57" s="16"/>
      <c r="H57" s="16"/>
      <c r="I57" s="16"/>
      <c r="J57" s="16"/>
      <c r="K57" s="16"/>
      <c r="L57" s="16"/>
      <c r="M57" s="16"/>
      <c r="N57" s="25" t="s">
        <v>133</v>
      </c>
      <c r="O57" s="25" t="s">
        <v>134</v>
      </c>
      <c r="P57" s="25" t="s">
        <v>135</v>
      </c>
      <c r="Q57" s="16"/>
      <c r="R57" s="16"/>
      <c r="S57" s="16"/>
      <c r="T57" s="16"/>
      <c r="U57" s="16"/>
      <c r="V57" s="16"/>
      <c r="W57" s="16"/>
      <c r="X57" s="6"/>
      <c r="Y57" s="6"/>
      <c r="Z57" s="6"/>
    </row>
    <row r="58" spans="1:26" ht="13.5" customHeight="1">
      <c r="A58" s="16"/>
      <c r="B58" s="16"/>
      <c r="C58" s="16"/>
      <c r="D58" s="16"/>
      <c r="E58" s="16"/>
      <c r="F58" s="16"/>
      <c r="G58" s="16"/>
      <c r="H58" s="16"/>
      <c r="I58" s="16"/>
      <c r="J58" s="16"/>
      <c r="K58" s="16"/>
      <c r="L58" s="16"/>
      <c r="M58" s="16"/>
      <c r="N58" s="25" t="s">
        <v>136</v>
      </c>
      <c r="O58" s="25" t="s">
        <v>137</v>
      </c>
      <c r="P58" s="25" t="s">
        <v>138</v>
      </c>
      <c r="Q58" s="16"/>
      <c r="R58" s="16"/>
      <c r="S58" s="16"/>
      <c r="T58" s="16"/>
      <c r="U58" s="16"/>
      <c r="V58" s="16"/>
      <c r="W58" s="16"/>
      <c r="X58" s="6"/>
      <c r="Y58" s="6"/>
      <c r="Z58" s="6"/>
    </row>
    <row r="59" spans="1:26" ht="13.5" customHeight="1">
      <c r="A59" s="16"/>
      <c r="B59" s="16"/>
      <c r="C59" s="16"/>
      <c r="D59" s="16"/>
      <c r="E59" s="16"/>
      <c r="F59" s="16"/>
      <c r="G59" s="16"/>
      <c r="H59" s="16"/>
      <c r="I59" s="16"/>
      <c r="J59" s="16"/>
      <c r="K59" s="16"/>
      <c r="L59" s="16"/>
      <c r="M59" s="16"/>
      <c r="N59" s="25" t="s">
        <v>139</v>
      </c>
      <c r="O59" s="25" t="s">
        <v>140</v>
      </c>
      <c r="P59" s="25" t="s">
        <v>141</v>
      </c>
      <c r="Q59" s="16"/>
      <c r="R59" s="16"/>
      <c r="S59" s="16"/>
      <c r="T59" s="16"/>
      <c r="U59" s="16"/>
      <c r="V59" s="16"/>
      <c r="W59" s="16"/>
      <c r="X59" s="6"/>
      <c r="Y59" s="6"/>
      <c r="Z59" s="6"/>
    </row>
    <row r="60" spans="1:26" ht="13.5" customHeight="1">
      <c r="A60" s="16"/>
      <c r="B60" s="16"/>
      <c r="C60" s="16"/>
      <c r="D60" s="16"/>
      <c r="E60" s="16"/>
      <c r="F60" s="16"/>
      <c r="G60" s="16"/>
      <c r="H60" s="16"/>
      <c r="I60" s="16"/>
      <c r="J60" s="16"/>
      <c r="K60" s="16"/>
      <c r="L60" s="16"/>
      <c r="M60" s="16"/>
      <c r="N60" s="25" t="s">
        <v>142</v>
      </c>
      <c r="O60" s="25" t="s">
        <v>143</v>
      </c>
      <c r="P60" s="25" t="s">
        <v>144</v>
      </c>
      <c r="Q60" s="16"/>
      <c r="R60" s="16"/>
      <c r="S60" s="16"/>
      <c r="T60" s="16"/>
      <c r="U60" s="16"/>
      <c r="V60" s="16"/>
      <c r="W60" s="16"/>
      <c r="X60" s="6"/>
      <c r="Y60" s="6"/>
      <c r="Z60" s="6"/>
    </row>
    <row r="61" spans="1:26" ht="13.5" customHeight="1">
      <c r="A61" s="16"/>
      <c r="B61" s="16"/>
      <c r="C61" s="16"/>
      <c r="D61" s="16"/>
      <c r="E61" s="16"/>
      <c r="F61" s="16"/>
      <c r="G61" s="16"/>
      <c r="H61" s="16"/>
      <c r="I61" s="16"/>
      <c r="J61" s="16"/>
      <c r="K61" s="16"/>
      <c r="L61" s="16"/>
      <c r="M61" s="16"/>
      <c r="N61" s="16"/>
      <c r="O61" s="16"/>
      <c r="P61" s="16"/>
      <c r="Q61" s="16"/>
      <c r="R61" s="16"/>
      <c r="S61" s="16"/>
      <c r="T61" s="16"/>
      <c r="U61" s="16"/>
      <c r="V61" s="16"/>
      <c r="W61" s="16"/>
      <c r="X61" s="6"/>
      <c r="Y61" s="6"/>
      <c r="Z61" s="6"/>
    </row>
    <row r="62" spans="1:26" ht="13.5" customHeight="1">
      <c r="A62" s="16"/>
      <c r="B62" s="16"/>
      <c r="C62" s="16"/>
      <c r="D62" s="16"/>
      <c r="E62" s="16"/>
      <c r="F62" s="16"/>
      <c r="G62" s="16"/>
      <c r="H62" s="16"/>
      <c r="I62" s="16"/>
      <c r="J62" s="16"/>
      <c r="K62" s="16"/>
      <c r="L62" s="16"/>
      <c r="M62" s="16"/>
      <c r="N62" s="16"/>
      <c r="O62" s="16"/>
      <c r="P62" s="16"/>
      <c r="Q62" s="16"/>
      <c r="R62" s="16"/>
      <c r="S62" s="16"/>
      <c r="T62" s="16"/>
      <c r="U62" s="16"/>
      <c r="V62" s="16"/>
      <c r="W62" s="16"/>
      <c r="X62" s="6"/>
      <c r="Y62" s="6"/>
      <c r="Z62" s="6"/>
    </row>
    <row r="63" spans="1:26" ht="13.5" customHeight="1">
      <c r="A63" s="16"/>
      <c r="B63" s="16"/>
      <c r="C63" s="16"/>
      <c r="D63" s="16"/>
      <c r="E63" s="16"/>
      <c r="F63" s="16"/>
      <c r="G63" s="16"/>
      <c r="H63" s="16"/>
      <c r="I63" s="16"/>
      <c r="J63" s="16"/>
      <c r="K63" s="16"/>
      <c r="L63" s="16"/>
      <c r="M63" s="16"/>
      <c r="N63" s="16"/>
      <c r="O63" s="16"/>
      <c r="P63" s="16"/>
      <c r="Q63" s="16"/>
      <c r="R63" s="16"/>
      <c r="S63" s="16"/>
      <c r="T63" s="16"/>
      <c r="U63" s="16"/>
      <c r="V63" s="16"/>
      <c r="W63" s="16"/>
      <c r="X63" s="6"/>
      <c r="Y63" s="6"/>
      <c r="Z63" s="6"/>
    </row>
    <row r="64" spans="1:26" ht="13.5" customHeight="1">
      <c r="A64" s="16"/>
      <c r="B64" s="16"/>
      <c r="C64" s="16"/>
      <c r="D64" s="16"/>
      <c r="E64" s="16"/>
      <c r="F64" s="16"/>
      <c r="G64" s="16"/>
      <c r="H64" s="16"/>
      <c r="I64" s="16"/>
      <c r="J64" s="16"/>
      <c r="K64" s="16"/>
      <c r="L64" s="16"/>
      <c r="M64" s="16"/>
      <c r="N64" s="16"/>
      <c r="O64" s="16"/>
      <c r="P64" s="16"/>
      <c r="Q64" s="16"/>
      <c r="R64" s="16"/>
      <c r="S64" s="16"/>
      <c r="T64" s="16"/>
      <c r="U64" s="16"/>
      <c r="V64" s="16"/>
      <c r="W64" s="16"/>
      <c r="X64" s="6"/>
      <c r="Y64" s="6"/>
      <c r="Z64" s="6"/>
    </row>
    <row r="65" spans="1:26" ht="13.5" customHeight="1">
      <c r="A65" s="16"/>
      <c r="B65" s="16"/>
      <c r="C65" s="16"/>
      <c r="D65" s="16"/>
      <c r="E65" s="16"/>
      <c r="F65" s="16"/>
      <c r="G65" s="16"/>
      <c r="H65" s="16"/>
      <c r="I65" s="16"/>
      <c r="J65" s="16"/>
      <c r="K65" s="16"/>
      <c r="L65" s="16"/>
      <c r="M65" s="16"/>
      <c r="N65" s="16"/>
      <c r="O65" s="16"/>
      <c r="P65" s="16"/>
      <c r="Q65" s="16"/>
      <c r="R65" s="16"/>
      <c r="S65" s="16"/>
      <c r="T65" s="16"/>
      <c r="U65" s="16"/>
      <c r="V65" s="16"/>
      <c r="W65" s="16"/>
      <c r="X65" s="6"/>
      <c r="Y65" s="6"/>
      <c r="Z65" s="6"/>
    </row>
    <row r="66" spans="1:26" ht="13.5" customHeight="1">
      <c r="A66" s="16"/>
      <c r="B66" s="16"/>
      <c r="C66" s="16"/>
      <c r="D66" s="16"/>
      <c r="E66" s="16"/>
      <c r="F66" s="16"/>
      <c r="G66" s="16"/>
      <c r="H66" s="16"/>
      <c r="I66" s="16"/>
      <c r="J66" s="16"/>
      <c r="K66" s="16"/>
      <c r="L66" s="16"/>
      <c r="M66" s="16"/>
      <c r="N66" s="16"/>
      <c r="O66" s="16"/>
      <c r="P66" s="16"/>
      <c r="Q66" s="16"/>
      <c r="R66" s="16"/>
      <c r="S66" s="16"/>
      <c r="T66" s="16"/>
      <c r="U66" s="16"/>
      <c r="V66" s="16"/>
      <c r="W66" s="16"/>
      <c r="X66" s="6"/>
      <c r="Y66" s="6"/>
      <c r="Z66" s="6"/>
    </row>
    <row r="67" spans="1:26" ht="13.5" customHeight="1">
      <c r="A67" s="16"/>
      <c r="B67" s="16"/>
      <c r="C67" s="16"/>
      <c r="D67" s="16"/>
      <c r="E67" s="16"/>
      <c r="F67" s="16"/>
      <c r="G67" s="16"/>
      <c r="H67" s="16"/>
      <c r="I67" s="16"/>
      <c r="J67" s="16"/>
      <c r="K67" s="16"/>
      <c r="L67" s="16"/>
      <c r="M67" s="16"/>
      <c r="N67" s="16"/>
      <c r="O67" s="16"/>
      <c r="P67" s="16"/>
      <c r="Q67" s="16"/>
      <c r="R67" s="16"/>
      <c r="S67" s="16"/>
      <c r="T67" s="16"/>
      <c r="U67" s="16"/>
      <c r="V67" s="16"/>
      <c r="W67" s="16"/>
      <c r="X67" s="6"/>
      <c r="Y67" s="6"/>
      <c r="Z67" s="6"/>
    </row>
    <row r="68" spans="1:26" ht="13.5" customHeight="1">
      <c r="A68" s="16"/>
      <c r="B68" s="16"/>
      <c r="C68" s="16"/>
      <c r="D68" s="16"/>
      <c r="E68" s="16"/>
      <c r="F68" s="16"/>
      <c r="G68" s="16"/>
      <c r="H68" s="16"/>
      <c r="I68" s="16"/>
      <c r="J68" s="16"/>
      <c r="K68" s="16"/>
      <c r="L68" s="16"/>
      <c r="M68" s="16"/>
      <c r="N68" s="16"/>
      <c r="O68" s="16"/>
      <c r="P68" s="16"/>
      <c r="Q68" s="16"/>
      <c r="R68" s="16"/>
      <c r="S68" s="16"/>
      <c r="T68" s="16"/>
      <c r="U68" s="16"/>
      <c r="V68" s="16"/>
      <c r="W68" s="16"/>
      <c r="X68" s="6"/>
      <c r="Y68" s="6"/>
      <c r="Z68" s="6"/>
    </row>
    <row r="69" spans="1:26"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6"/>
      <c r="Y69" s="6"/>
      <c r="Z69" s="6"/>
    </row>
    <row r="70" spans="1:26"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6"/>
      <c r="Y70" s="6"/>
      <c r="Z70" s="6"/>
    </row>
    <row r="71" spans="1:26"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6"/>
      <c r="Y71" s="6"/>
      <c r="Z71" s="6"/>
    </row>
    <row r="72" spans="1:26"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6"/>
      <c r="Y72" s="6"/>
      <c r="Z72" s="6"/>
    </row>
    <row r="73" spans="1:26"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6"/>
      <c r="Y73" s="6"/>
      <c r="Z73" s="6"/>
    </row>
    <row r="74" spans="1:26"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6"/>
      <c r="Y74" s="6"/>
      <c r="Z74" s="6"/>
    </row>
    <row r="75" spans="1:26"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6"/>
      <c r="Y75" s="6"/>
      <c r="Z75" s="6"/>
    </row>
    <row r="76" spans="1:26" ht="13.5" customHeight="1">
      <c r="A76" s="16"/>
      <c r="B76" s="16"/>
      <c r="C76" s="16"/>
      <c r="D76" s="16"/>
      <c r="E76" s="16"/>
      <c r="F76" s="16"/>
      <c r="G76" s="16"/>
      <c r="H76" s="16"/>
      <c r="I76" s="16"/>
      <c r="J76" s="16"/>
      <c r="K76" s="16"/>
      <c r="L76" s="16"/>
      <c r="M76" s="16"/>
      <c r="N76" s="16"/>
      <c r="O76" s="16"/>
      <c r="P76" s="16"/>
      <c r="Q76" s="16"/>
      <c r="R76" s="16"/>
      <c r="S76" s="16"/>
      <c r="T76" s="16"/>
      <c r="U76" s="16"/>
      <c r="V76" s="16"/>
      <c r="W76" s="16"/>
      <c r="X76" s="6"/>
      <c r="Y76" s="6"/>
      <c r="Z76" s="6"/>
    </row>
    <row r="77" spans="1:26" ht="13.5" customHeight="1">
      <c r="A77" s="16"/>
      <c r="B77" s="16"/>
      <c r="C77" s="16"/>
      <c r="D77" s="16"/>
      <c r="E77" s="16"/>
      <c r="F77" s="16"/>
      <c r="G77" s="16"/>
      <c r="H77" s="16"/>
      <c r="I77" s="16"/>
      <c r="J77" s="16"/>
      <c r="K77" s="16"/>
      <c r="L77" s="16"/>
      <c r="M77" s="16"/>
      <c r="N77" s="16"/>
      <c r="O77" s="16"/>
      <c r="P77" s="16"/>
      <c r="Q77" s="16"/>
      <c r="R77" s="16"/>
      <c r="S77" s="16"/>
      <c r="T77" s="16"/>
      <c r="U77" s="16"/>
      <c r="V77" s="16"/>
      <c r="W77" s="16"/>
      <c r="X77" s="6"/>
      <c r="Y77" s="6"/>
      <c r="Z77" s="6"/>
    </row>
    <row r="78" spans="1:26" ht="13.5" customHeight="1">
      <c r="A78" s="16"/>
      <c r="B78" s="16"/>
      <c r="C78" s="16"/>
      <c r="D78" s="16"/>
      <c r="E78" s="16"/>
      <c r="F78" s="16"/>
      <c r="G78" s="16"/>
      <c r="H78" s="16"/>
      <c r="I78" s="16"/>
      <c r="J78" s="16"/>
      <c r="K78" s="16"/>
      <c r="L78" s="16"/>
      <c r="M78" s="16"/>
      <c r="N78" s="16"/>
      <c r="O78" s="16"/>
      <c r="P78" s="16"/>
      <c r="Q78" s="16"/>
      <c r="R78" s="16"/>
      <c r="S78" s="16"/>
      <c r="T78" s="16"/>
      <c r="U78" s="16"/>
      <c r="V78" s="16"/>
      <c r="W78" s="16"/>
      <c r="X78" s="6"/>
      <c r="Y78" s="6"/>
      <c r="Z78" s="6"/>
    </row>
    <row r="79" spans="1:26" ht="13.5" customHeight="1">
      <c r="A79" s="16"/>
      <c r="B79" s="16"/>
      <c r="C79" s="16"/>
      <c r="D79" s="16"/>
      <c r="E79" s="16"/>
      <c r="F79" s="16"/>
      <c r="G79" s="16"/>
      <c r="H79" s="16"/>
      <c r="I79" s="16"/>
      <c r="J79" s="16"/>
      <c r="K79" s="16"/>
      <c r="L79" s="16"/>
      <c r="M79" s="16"/>
      <c r="N79" s="16"/>
      <c r="O79" s="16"/>
      <c r="P79" s="16"/>
      <c r="Q79" s="16"/>
      <c r="R79" s="16"/>
      <c r="S79" s="16"/>
      <c r="T79" s="16"/>
      <c r="U79" s="16"/>
      <c r="V79" s="16"/>
      <c r="W79" s="16"/>
      <c r="X79" s="6"/>
      <c r="Y79" s="6"/>
      <c r="Z79" s="6"/>
    </row>
    <row r="80" spans="1:26" ht="13.5" customHeight="1">
      <c r="A80" s="16"/>
      <c r="B80" s="16"/>
      <c r="C80" s="16"/>
      <c r="D80" s="16"/>
      <c r="E80" s="16"/>
      <c r="F80" s="16"/>
      <c r="G80" s="16"/>
      <c r="H80" s="16"/>
      <c r="I80" s="16"/>
      <c r="J80" s="16"/>
      <c r="K80" s="16"/>
      <c r="L80" s="16"/>
      <c r="M80" s="16"/>
      <c r="N80" s="16"/>
      <c r="O80" s="16"/>
      <c r="P80" s="16"/>
      <c r="Q80" s="16"/>
      <c r="R80" s="16"/>
      <c r="S80" s="16"/>
      <c r="T80" s="16"/>
      <c r="U80" s="16"/>
      <c r="V80" s="16"/>
      <c r="W80" s="16"/>
      <c r="X80" s="6"/>
      <c r="Y80" s="6"/>
      <c r="Z80" s="6"/>
    </row>
    <row r="81" spans="1:26" ht="13.5" customHeight="1">
      <c r="A81" s="16"/>
      <c r="B81" s="16"/>
      <c r="C81" s="16"/>
      <c r="D81" s="16"/>
      <c r="E81" s="16"/>
      <c r="F81" s="16"/>
      <c r="G81" s="16"/>
      <c r="H81" s="16"/>
      <c r="I81" s="16"/>
      <c r="J81" s="16"/>
      <c r="K81" s="16"/>
      <c r="L81" s="16"/>
      <c r="M81" s="16"/>
      <c r="N81" s="16"/>
      <c r="O81" s="16"/>
      <c r="P81" s="16"/>
      <c r="Q81" s="16"/>
      <c r="R81" s="16"/>
      <c r="S81" s="16"/>
      <c r="T81" s="16"/>
      <c r="U81" s="16"/>
      <c r="V81" s="16"/>
      <c r="W81" s="1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row r="262" spans="1:26" ht="15.75" customHeight="1"/>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59">
    <mergeCell ref="G30:J30"/>
    <mergeCell ref="F32:J32"/>
    <mergeCell ref="G25:J25"/>
    <mergeCell ref="G26:J26"/>
    <mergeCell ref="G27:J27"/>
    <mergeCell ref="G28:J28"/>
    <mergeCell ref="G29:J29"/>
    <mergeCell ref="B2:F2"/>
    <mergeCell ref="G2:T5"/>
    <mergeCell ref="B3:F3"/>
    <mergeCell ref="B7:D7"/>
    <mergeCell ref="F7:J7"/>
    <mergeCell ref="C8:D8"/>
    <mergeCell ref="C9:D9"/>
    <mergeCell ref="G12:J12"/>
    <mergeCell ref="G13:J13"/>
    <mergeCell ref="F8:J8"/>
    <mergeCell ref="F9:J9"/>
    <mergeCell ref="C10:D10"/>
    <mergeCell ref="G10:J10"/>
    <mergeCell ref="G11:J11"/>
    <mergeCell ref="B12:D12"/>
    <mergeCell ref="C13:D13"/>
    <mergeCell ref="C14:D14"/>
    <mergeCell ref="G14:J14"/>
    <mergeCell ref="B15:D15"/>
    <mergeCell ref="G15:J15"/>
    <mergeCell ref="G16:J16"/>
    <mergeCell ref="B17:D17"/>
    <mergeCell ref="G17:J17"/>
    <mergeCell ref="G18:J18"/>
    <mergeCell ref="G19:J19"/>
    <mergeCell ref="F21:J21"/>
    <mergeCell ref="G22:J22"/>
    <mergeCell ref="C23:D23"/>
    <mergeCell ref="G23:J23"/>
    <mergeCell ref="G24:J24"/>
    <mergeCell ref="B24:D24"/>
    <mergeCell ref="B25:D25"/>
    <mergeCell ref="B27:D27"/>
    <mergeCell ref="B28:D29"/>
    <mergeCell ref="C30:D30"/>
    <mergeCell ref="C31:D31"/>
    <mergeCell ref="C32:D32"/>
    <mergeCell ref="B36:D37"/>
    <mergeCell ref="G40:J40"/>
    <mergeCell ref="G41:J41"/>
    <mergeCell ref="G42:J42"/>
    <mergeCell ref="G33:J33"/>
    <mergeCell ref="G34:J34"/>
    <mergeCell ref="G43:J43"/>
    <mergeCell ref="G44:J44"/>
    <mergeCell ref="B33:D33"/>
    <mergeCell ref="C34:D34"/>
    <mergeCell ref="C35:D35"/>
    <mergeCell ref="G35:J35"/>
    <mergeCell ref="G36:J36"/>
    <mergeCell ref="F38:J38"/>
    <mergeCell ref="G39:J39"/>
  </mergeCells>
  <conditionalFormatting sqref="C23:D23">
    <cfRule type="cellIs" dxfId="16" priority="1" operator="notEqual">
      <formula>1</formula>
    </cfRule>
    <cfRule type="cellIs" dxfId="15" priority="2" operator="equal">
      <formula>1</formula>
    </cfRule>
  </conditionalFormatting>
  <dataValidations count="3">
    <dataValidation type="decimal" operator="greaterThan" allowBlank="1" showErrorMessage="1" errorTitle="Tasa de cambio" error="La tasa tiene que ser mayor que cero. Ejemplo: si 1 USD vale 1440 pesos, escribí 1440." sqref="C31" xr:uid="{00000000-0002-0000-0100-000000000000}">
      <formula1>0</formula1>
    </dataValidation>
    <dataValidation type="list" allowBlank="1" sqref="C10" xr:uid="{00000000-0002-0000-0100-000001000000}">
      <formula1>"Enero,Febrero,Marzo,Abril,Mayo,Junio,Julio,Agosto,Septiembre,Octubre,Noviembre,Diciembre"</formula1>
    </dataValidation>
    <dataValidation type="list" allowBlank="1" sqref="C13" xr:uid="{00000000-0002-0000-0100-000002000000}">
      <formula1>$N$52:$N$60</formula1>
    </dataValidation>
  </dataValidation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A8C7E"/>
  </sheetPr>
  <dimension ref="A1:AD1000"/>
  <sheetViews>
    <sheetView showGridLines="0" workbookViewId="0"/>
  </sheetViews>
  <sheetFormatPr baseColWidth="10" defaultColWidth="12.59765625" defaultRowHeight="15" customHeight="1"/>
  <cols>
    <col min="1" max="2" width="2" customWidth="1"/>
    <col min="3" max="8" width="6.5" customWidth="1"/>
    <col min="9" max="9" width="1.59765625" customWidth="1"/>
    <col min="10" max="15" width="6.5" customWidth="1"/>
    <col min="16" max="16" width="1.59765625" customWidth="1"/>
    <col min="17" max="22" width="6.5" customWidth="1"/>
    <col min="23" max="26" width="8.69921875" customWidth="1"/>
  </cols>
  <sheetData>
    <row r="1" spans="1:30" ht="6" customHeight="1">
      <c r="A1" s="7"/>
      <c r="B1" s="7"/>
      <c r="C1" s="7"/>
      <c r="D1" s="7"/>
      <c r="E1" s="7"/>
      <c r="F1" s="7"/>
      <c r="G1" s="7"/>
      <c r="H1" s="7"/>
      <c r="I1" s="7"/>
      <c r="J1" s="7"/>
      <c r="K1" s="7"/>
      <c r="L1" s="7"/>
      <c r="M1" s="7"/>
      <c r="N1" s="7"/>
      <c r="O1" s="7"/>
      <c r="P1" s="7"/>
      <c r="Q1" s="7"/>
      <c r="R1" s="7"/>
      <c r="S1" s="7"/>
      <c r="T1" s="7"/>
      <c r="U1" s="7"/>
      <c r="V1" s="7"/>
      <c r="W1" s="1"/>
      <c r="X1" s="1"/>
      <c r="Y1" s="1"/>
      <c r="Z1" s="1"/>
      <c r="AA1" s="1"/>
      <c r="AB1" s="1"/>
      <c r="AC1" s="1"/>
      <c r="AD1" s="33"/>
    </row>
    <row r="2" spans="1:30" ht="21.75" customHeight="1">
      <c r="A2" s="7"/>
      <c r="B2" s="118" t="s">
        <v>156</v>
      </c>
      <c r="C2" s="88"/>
      <c r="D2" s="88"/>
      <c r="E2" s="88"/>
      <c r="F2" s="88"/>
      <c r="G2" s="34"/>
      <c r="H2" s="1"/>
      <c r="I2" s="1"/>
      <c r="J2" s="119" t="s">
        <v>157</v>
      </c>
      <c r="K2" s="109"/>
      <c r="L2" s="109"/>
      <c r="M2" s="109"/>
      <c r="N2" s="109"/>
      <c r="O2" s="109"/>
      <c r="P2" s="109"/>
      <c r="Q2" s="109"/>
      <c r="R2" s="109"/>
      <c r="S2" s="109"/>
      <c r="T2" s="109"/>
      <c r="U2" s="7"/>
      <c r="V2" s="7"/>
      <c r="W2" s="1"/>
      <c r="X2" s="1"/>
      <c r="Y2" s="1"/>
      <c r="Z2" s="1"/>
      <c r="AA2" s="1"/>
      <c r="AB2" s="1"/>
      <c r="AC2" s="1"/>
      <c r="AD2" s="33"/>
    </row>
    <row r="3" spans="1:30" ht="15.75" customHeight="1">
      <c r="A3" s="7"/>
      <c r="B3" s="128" t="s">
        <v>158</v>
      </c>
      <c r="C3" s="109"/>
      <c r="D3" s="109"/>
      <c r="E3" s="109"/>
      <c r="F3" s="109"/>
      <c r="G3" s="1"/>
      <c r="H3" s="1"/>
      <c r="I3" s="1"/>
      <c r="J3" s="110"/>
      <c r="K3" s="111"/>
      <c r="L3" s="111"/>
      <c r="M3" s="111"/>
      <c r="N3" s="111"/>
      <c r="O3" s="111"/>
      <c r="P3" s="111"/>
      <c r="Q3" s="111"/>
      <c r="R3" s="111"/>
      <c r="S3" s="111"/>
      <c r="T3" s="111"/>
      <c r="U3" s="7"/>
      <c r="V3" s="7"/>
      <c r="W3" s="1"/>
      <c r="X3" s="1"/>
      <c r="Y3" s="1"/>
      <c r="Z3" s="1"/>
      <c r="AA3" s="1"/>
      <c r="AB3" s="1"/>
      <c r="AC3" s="1"/>
      <c r="AD3" s="33"/>
    </row>
    <row r="4" spans="1:30" ht="21.75" customHeight="1">
      <c r="A4" s="7"/>
      <c r="B4" s="110"/>
      <c r="C4" s="111"/>
      <c r="D4" s="111"/>
      <c r="E4" s="111"/>
      <c r="F4" s="111"/>
      <c r="G4" s="1"/>
      <c r="H4" s="1"/>
      <c r="I4" s="1"/>
      <c r="J4" s="110"/>
      <c r="K4" s="111"/>
      <c r="L4" s="111"/>
      <c r="M4" s="111"/>
      <c r="N4" s="111"/>
      <c r="O4" s="111"/>
      <c r="P4" s="111"/>
      <c r="Q4" s="111"/>
      <c r="R4" s="111"/>
      <c r="S4" s="111"/>
      <c r="T4" s="111"/>
      <c r="U4" s="1"/>
      <c r="V4" s="1"/>
      <c r="W4" s="1"/>
      <c r="X4" s="1"/>
      <c r="Y4" s="1"/>
      <c r="Z4" s="1"/>
      <c r="AA4" s="1"/>
      <c r="AB4" s="1"/>
      <c r="AC4" s="1"/>
      <c r="AD4" s="33"/>
    </row>
    <row r="5" spans="1:30" ht="20.25" customHeight="1">
      <c r="A5" s="7"/>
      <c r="B5" s="7"/>
      <c r="C5" s="7"/>
      <c r="D5" s="7"/>
      <c r="E5" s="7"/>
      <c r="F5" s="7"/>
      <c r="G5" s="1"/>
      <c r="H5" s="1"/>
      <c r="I5" s="1"/>
      <c r="J5" s="110"/>
      <c r="K5" s="111"/>
      <c r="L5" s="111"/>
      <c r="M5" s="111"/>
      <c r="N5" s="111"/>
      <c r="O5" s="111"/>
      <c r="P5" s="111"/>
      <c r="Q5" s="111"/>
      <c r="R5" s="111"/>
      <c r="S5" s="111"/>
      <c r="T5" s="111"/>
      <c r="U5" s="7"/>
      <c r="V5" s="7"/>
      <c r="W5" s="1"/>
      <c r="X5" s="1"/>
      <c r="Y5" s="1"/>
      <c r="Z5" s="1"/>
      <c r="AA5" s="1"/>
      <c r="AB5" s="1"/>
      <c r="AC5" s="1"/>
      <c r="AD5" s="33"/>
    </row>
    <row r="6" spans="1:30" ht="11.25" customHeight="1">
      <c r="A6" s="5"/>
      <c r="B6" s="35"/>
      <c r="C6" s="35"/>
      <c r="D6" s="35"/>
      <c r="E6" s="35"/>
      <c r="F6" s="35"/>
      <c r="G6" s="35"/>
      <c r="H6" s="35"/>
      <c r="I6" s="35"/>
      <c r="J6" s="35"/>
      <c r="K6" s="35"/>
      <c r="L6" s="35"/>
      <c r="M6" s="35"/>
      <c r="N6" s="35"/>
      <c r="O6" s="35"/>
      <c r="P6" s="5"/>
      <c r="Q6" s="5"/>
      <c r="R6" s="5"/>
      <c r="S6" s="5"/>
      <c r="T6" s="5"/>
      <c r="U6" s="5"/>
      <c r="V6" s="5"/>
      <c r="W6" s="5"/>
      <c r="X6" s="5"/>
      <c r="Y6" s="6"/>
      <c r="Z6" s="6"/>
    </row>
    <row r="7" spans="1:30" ht="18.75" customHeight="1">
      <c r="A7" s="12"/>
      <c r="B7" s="36"/>
      <c r="C7" s="124" t="s">
        <v>159</v>
      </c>
      <c r="D7" s="88"/>
      <c r="E7" s="88"/>
      <c r="F7" s="88"/>
      <c r="G7" s="123" t="s">
        <v>160</v>
      </c>
      <c r="H7" s="88"/>
      <c r="I7" s="36"/>
      <c r="J7" s="124" t="s">
        <v>161</v>
      </c>
      <c r="K7" s="88"/>
      <c r="L7" s="88"/>
      <c r="M7" s="88"/>
      <c r="N7" s="123" t="s">
        <v>160</v>
      </c>
      <c r="O7" s="88"/>
      <c r="P7" s="12"/>
      <c r="Q7" s="124" t="s">
        <v>162</v>
      </c>
      <c r="R7" s="88"/>
      <c r="S7" s="88"/>
      <c r="T7" s="88"/>
      <c r="U7" s="123" t="s">
        <v>160</v>
      </c>
      <c r="V7" s="88"/>
      <c r="W7" s="12"/>
      <c r="X7" s="12"/>
      <c r="Y7" s="12"/>
      <c r="Z7" s="12"/>
    </row>
    <row r="8" spans="1:30" ht="18.75">
      <c r="A8" s="12"/>
      <c r="B8" s="15"/>
      <c r="C8" s="11"/>
      <c r="D8" s="7"/>
      <c r="E8" s="37"/>
      <c r="F8" s="7"/>
      <c r="G8" s="38"/>
      <c r="H8" s="39"/>
      <c r="I8" s="12"/>
      <c r="J8" s="37"/>
      <c r="K8" s="7"/>
      <c r="L8" s="7"/>
      <c r="M8" s="11"/>
      <c r="N8" s="7"/>
      <c r="O8" s="37"/>
      <c r="P8" s="12"/>
      <c r="Q8" s="7"/>
      <c r="R8" s="7"/>
      <c r="S8" s="7"/>
      <c r="T8" s="7"/>
      <c r="U8" s="7"/>
      <c r="V8" s="7"/>
      <c r="W8" s="12"/>
      <c r="X8" s="12"/>
      <c r="Y8" s="12"/>
      <c r="Z8" s="12"/>
    </row>
    <row r="9" spans="1:30" ht="14.25" customHeight="1">
      <c r="A9" s="12"/>
      <c r="B9" s="15"/>
      <c r="C9" s="120" t="s">
        <v>163</v>
      </c>
      <c r="D9" s="88"/>
      <c r="E9" s="40"/>
      <c r="F9" s="40"/>
      <c r="G9" s="38"/>
      <c r="H9" s="38"/>
      <c r="I9" s="13"/>
      <c r="J9" s="120" t="s">
        <v>164</v>
      </c>
      <c r="K9" s="88"/>
      <c r="L9" s="7"/>
      <c r="M9" s="7"/>
      <c r="N9" s="7"/>
      <c r="O9" s="7"/>
      <c r="P9" s="12"/>
      <c r="Q9" s="120" t="s">
        <v>165</v>
      </c>
      <c r="R9" s="88"/>
      <c r="S9" s="7"/>
      <c r="T9" s="7"/>
      <c r="U9" s="7"/>
      <c r="V9" s="7"/>
      <c r="W9" s="12"/>
      <c r="X9" s="12"/>
      <c r="Y9" s="12"/>
      <c r="Z9" s="12"/>
    </row>
    <row r="10" spans="1:30" ht="27.75" customHeight="1">
      <c r="A10" s="12"/>
      <c r="B10" s="15"/>
      <c r="C10" s="41" t="s">
        <v>121</v>
      </c>
      <c r="D10" s="121"/>
      <c r="E10" s="88"/>
      <c r="F10" s="88"/>
      <c r="G10" s="88"/>
      <c r="H10" s="88"/>
      <c r="I10" s="12"/>
      <c r="J10" s="41" t="s">
        <v>121</v>
      </c>
      <c r="K10" s="121"/>
      <c r="L10" s="88"/>
      <c r="M10" s="88"/>
      <c r="N10" s="88"/>
      <c r="O10" s="88"/>
      <c r="P10" s="42"/>
      <c r="Q10" s="41" t="s">
        <v>121</v>
      </c>
      <c r="R10" s="121"/>
      <c r="S10" s="88"/>
      <c r="T10" s="88"/>
      <c r="U10" s="88"/>
      <c r="V10" s="88"/>
      <c r="W10" s="12"/>
      <c r="X10" s="12"/>
      <c r="Y10" s="12"/>
      <c r="Z10" s="12"/>
    </row>
    <row r="11" spans="1:30" ht="13.5" customHeight="1">
      <c r="A11" s="12"/>
      <c r="B11" s="15"/>
      <c r="C11" s="40"/>
      <c r="D11" s="40"/>
      <c r="E11" s="40"/>
      <c r="F11" s="40"/>
      <c r="G11" s="38"/>
      <c r="H11" s="38"/>
      <c r="I11" s="13"/>
      <c r="J11" s="7"/>
      <c r="K11" s="7"/>
      <c r="L11" s="7"/>
      <c r="M11" s="7"/>
      <c r="N11" s="7"/>
      <c r="O11" s="7"/>
      <c r="P11" s="12"/>
      <c r="Q11" s="7"/>
      <c r="R11" s="7"/>
      <c r="S11" s="7"/>
      <c r="T11" s="7"/>
      <c r="U11" s="7"/>
      <c r="V11" s="7"/>
      <c r="W11" s="12"/>
      <c r="X11" s="12"/>
      <c r="Y11" s="12"/>
      <c r="Z11" s="12"/>
    </row>
    <row r="12" spans="1:30" ht="18.75">
      <c r="A12" s="12"/>
      <c r="B12" s="15"/>
      <c r="C12" s="40"/>
      <c r="D12" s="40"/>
      <c r="E12" s="40"/>
      <c r="F12" s="40"/>
      <c r="G12" s="38"/>
      <c r="H12" s="38"/>
      <c r="I12" s="13"/>
      <c r="J12" s="7"/>
      <c r="K12" s="7"/>
      <c r="L12" s="7"/>
      <c r="M12" s="7"/>
      <c r="N12" s="7"/>
      <c r="O12" s="7"/>
      <c r="P12" s="12"/>
      <c r="Q12" s="7"/>
      <c r="R12" s="7"/>
      <c r="S12" s="7"/>
      <c r="T12" s="7"/>
      <c r="U12" s="7"/>
      <c r="V12" s="7"/>
      <c r="W12" s="12"/>
      <c r="X12" s="12"/>
      <c r="Y12" s="12"/>
      <c r="Z12" s="12"/>
    </row>
    <row r="13" spans="1:30" ht="18.75">
      <c r="A13" s="12"/>
      <c r="B13" s="15"/>
      <c r="C13" s="40"/>
      <c r="D13" s="40"/>
      <c r="E13" s="40"/>
      <c r="F13" s="40"/>
      <c r="G13" s="38"/>
      <c r="H13" s="38"/>
      <c r="I13" s="13"/>
      <c r="J13" s="7"/>
      <c r="K13" s="7"/>
      <c r="L13" s="7"/>
      <c r="M13" s="7"/>
      <c r="N13" s="7"/>
      <c r="O13" s="7"/>
      <c r="P13" s="12"/>
      <c r="Q13" s="7"/>
      <c r="R13" s="7"/>
      <c r="S13" s="7"/>
      <c r="T13" s="7"/>
      <c r="U13" s="7"/>
      <c r="V13" s="7"/>
      <c r="W13" s="12"/>
      <c r="X13" s="12"/>
      <c r="Y13" s="12"/>
      <c r="Z13" s="12"/>
    </row>
    <row r="14" spans="1:30" ht="20.25" customHeight="1">
      <c r="A14" s="12"/>
      <c r="B14" s="15"/>
      <c r="C14" s="13"/>
      <c r="D14" s="13"/>
      <c r="E14" s="13"/>
      <c r="F14" s="13"/>
      <c r="G14" s="43"/>
      <c r="H14" s="43"/>
      <c r="I14" s="13"/>
      <c r="J14" s="12"/>
      <c r="K14" s="12"/>
      <c r="L14" s="12"/>
      <c r="M14" s="12"/>
      <c r="N14" s="12"/>
      <c r="O14" s="12"/>
      <c r="P14" s="12"/>
      <c r="Q14" s="12"/>
      <c r="R14" s="12"/>
      <c r="S14" s="12"/>
      <c r="T14" s="12"/>
      <c r="U14" s="12"/>
      <c r="V14" s="12"/>
      <c r="W14" s="12"/>
      <c r="X14" s="12"/>
      <c r="Y14" s="12"/>
      <c r="Z14" s="12"/>
    </row>
    <row r="15" spans="1:30" ht="18.75" customHeight="1">
      <c r="A15" s="12"/>
      <c r="B15" s="15"/>
      <c r="C15" s="124" t="s">
        <v>166</v>
      </c>
      <c r="D15" s="88"/>
      <c r="E15" s="88"/>
      <c r="F15" s="88"/>
      <c r="G15" s="127" t="s">
        <v>160</v>
      </c>
      <c r="H15" s="88"/>
      <c r="I15" s="13"/>
      <c r="J15" s="124" t="str">
        <f>"💵  Cuenta "&amp;'⚙️ Configuración'!$C$30</f>
        <v>💵  Cuenta USD</v>
      </c>
      <c r="K15" s="88"/>
      <c r="L15" s="88"/>
      <c r="M15" s="88"/>
      <c r="N15" s="123" t="s">
        <v>160</v>
      </c>
      <c r="O15" s="88"/>
      <c r="P15" s="12"/>
      <c r="Q15" s="124" t="s">
        <v>167</v>
      </c>
      <c r="R15" s="88"/>
      <c r="S15" s="88"/>
      <c r="T15" s="88"/>
      <c r="U15" s="123" t="s">
        <v>160</v>
      </c>
      <c r="V15" s="88"/>
      <c r="W15" s="12"/>
      <c r="X15" s="12"/>
      <c r="Y15" s="12"/>
      <c r="Z15" s="12"/>
    </row>
    <row r="16" spans="1:30" ht="18.75">
      <c r="A16" s="12"/>
      <c r="B16" s="15"/>
      <c r="C16" s="11"/>
      <c r="D16" s="7"/>
      <c r="E16" s="37"/>
      <c r="F16" s="7"/>
      <c r="G16" s="38"/>
      <c r="H16" s="39"/>
      <c r="I16" s="12"/>
      <c r="J16" s="37"/>
      <c r="K16" s="7"/>
      <c r="L16" s="7"/>
      <c r="M16" s="11"/>
      <c r="N16" s="7"/>
      <c r="O16" s="37"/>
      <c r="P16" s="12"/>
      <c r="Q16" s="7"/>
      <c r="R16" s="7"/>
      <c r="S16" s="7"/>
      <c r="T16" s="7"/>
      <c r="U16" s="7"/>
      <c r="V16" s="7"/>
      <c r="W16" s="12"/>
      <c r="X16" s="12"/>
      <c r="Y16" s="12"/>
      <c r="Z16" s="12"/>
    </row>
    <row r="17" spans="1:30" ht="14.25" customHeight="1">
      <c r="A17" s="12"/>
      <c r="B17" s="15"/>
      <c r="C17" s="120" t="s">
        <v>168</v>
      </c>
      <c r="D17" s="88"/>
      <c r="E17" s="40"/>
      <c r="F17" s="40"/>
      <c r="G17" s="38"/>
      <c r="H17" s="38"/>
      <c r="I17" s="13"/>
      <c r="J17" s="120" t="s">
        <v>169</v>
      </c>
      <c r="K17" s="88"/>
      <c r="L17" s="7"/>
      <c r="M17" s="7"/>
      <c r="N17" s="7"/>
      <c r="O17" s="7"/>
      <c r="P17" s="12"/>
      <c r="Q17" s="125"/>
      <c r="R17" s="88"/>
      <c r="S17" s="7"/>
      <c r="T17" s="7"/>
      <c r="U17" s="7"/>
      <c r="V17" s="7"/>
      <c r="W17" s="12"/>
      <c r="X17" s="12"/>
      <c r="Y17" s="12"/>
      <c r="Z17" s="12"/>
    </row>
    <row r="18" spans="1:30" ht="27.75" customHeight="1">
      <c r="A18" s="12"/>
      <c r="B18" s="15"/>
      <c r="C18" s="41" t="s">
        <v>121</v>
      </c>
      <c r="D18" s="121"/>
      <c r="E18" s="88"/>
      <c r="F18" s="88"/>
      <c r="G18" s="88"/>
      <c r="H18" s="88"/>
      <c r="I18" s="12"/>
      <c r="J18" s="41" t="str">
        <f>'⚙️ Configuración'!$C$32</f>
        <v>US$</v>
      </c>
      <c r="K18" s="121"/>
      <c r="L18" s="88"/>
      <c r="M18" s="88"/>
      <c r="N18" s="88"/>
      <c r="O18" s="88"/>
      <c r="P18" s="42"/>
      <c r="Q18" s="41" t="s">
        <v>121</v>
      </c>
      <c r="R18" s="121"/>
      <c r="S18" s="88"/>
      <c r="T18" s="88"/>
      <c r="U18" s="88"/>
      <c r="V18" s="88"/>
      <c r="W18" s="12"/>
      <c r="X18" s="12"/>
      <c r="Y18" s="12"/>
      <c r="Z18" s="12"/>
    </row>
    <row r="19" spans="1:30" ht="13.5" customHeight="1">
      <c r="A19" s="12"/>
      <c r="B19" s="15"/>
      <c r="C19" s="40"/>
      <c r="D19" s="40"/>
      <c r="E19" s="40"/>
      <c r="F19" s="40"/>
      <c r="G19" s="38"/>
      <c r="H19" s="38"/>
      <c r="I19" s="13"/>
      <c r="J19" s="7"/>
      <c r="K19" s="7"/>
      <c r="L19" s="7"/>
      <c r="M19" s="7"/>
      <c r="N19" s="7"/>
      <c r="O19" s="7"/>
      <c r="P19" s="12"/>
      <c r="Q19" s="7"/>
      <c r="R19" s="7"/>
      <c r="S19" s="7"/>
      <c r="T19" s="7"/>
      <c r="U19" s="7"/>
      <c r="V19" s="7"/>
      <c r="W19" s="12"/>
      <c r="X19" s="12"/>
      <c r="Y19" s="12"/>
      <c r="Z19" s="12"/>
    </row>
    <row r="20" spans="1:30" ht="18.75">
      <c r="A20" s="12"/>
      <c r="B20" s="15"/>
      <c r="C20" s="40"/>
      <c r="D20" s="40"/>
      <c r="E20" s="40"/>
      <c r="F20" s="40"/>
      <c r="G20" s="38"/>
      <c r="H20" s="38"/>
      <c r="I20" s="13"/>
      <c r="J20" s="7"/>
      <c r="K20" s="7"/>
      <c r="L20" s="7"/>
      <c r="M20" s="7"/>
      <c r="N20" s="7"/>
      <c r="O20" s="7"/>
      <c r="P20" s="12"/>
      <c r="Q20" s="7"/>
      <c r="R20" s="7"/>
      <c r="S20" s="7"/>
      <c r="T20" s="7"/>
      <c r="U20" s="7"/>
      <c r="V20" s="7"/>
      <c r="W20" s="12"/>
      <c r="X20" s="12"/>
      <c r="Y20" s="12"/>
      <c r="Z20" s="12"/>
    </row>
    <row r="21" spans="1:30" ht="15.75" customHeight="1">
      <c r="A21" s="12"/>
      <c r="B21" s="15"/>
      <c r="C21" s="40"/>
      <c r="D21" s="40"/>
      <c r="E21" s="40"/>
      <c r="F21" s="40"/>
      <c r="G21" s="38"/>
      <c r="H21" s="38"/>
      <c r="I21" s="13"/>
      <c r="J21" s="7"/>
      <c r="K21" s="7"/>
      <c r="L21" s="7"/>
      <c r="M21" s="7"/>
      <c r="N21" s="7"/>
      <c r="O21" s="7"/>
      <c r="P21" s="12"/>
      <c r="Q21" s="7"/>
      <c r="R21" s="7"/>
      <c r="S21" s="7"/>
      <c r="T21" s="7"/>
      <c r="U21" s="7"/>
      <c r="V21" s="7"/>
      <c r="W21" s="12"/>
      <c r="X21" s="12"/>
      <c r="Y21" s="12"/>
      <c r="Z21" s="12"/>
    </row>
    <row r="22" spans="1:30" ht="15.75" customHeight="1">
      <c r="A22" s="12"/>
      <c r="B22" s="15"/>
      <c r="C22" s="13"/>
      <c r="D22" s="13"/>
      <c r="E22" s="13"/>
      <c r="F22" s="13"/>
      <c r="G22" s="43"/>
      <c r="H22" s="43"/>
      <c r="I22" s="13"/>
      <c r="J22" s="12"/>
      <c r="K22" s="12"/>
      <c r="L22" s="12"/>
      <c r="M22" s="12"/>
      <c r="N22" s="12"/>
      <c r="O22" s="12"/>
      <c r="P22" s="12"/>
      <c r="Q22" s="12"/>
      <c r="R22" s="12"/>
      <c r="S22" s="12"/>
      <c r="T22" s="12"/>
      <c r="U22" s="12"/>
      <c r="V22" s="12"/>
      <c r="W22" s="12"/>
      <c r="X22" s="12"/>
      <c r="Y22" s="12"/>
      <c r="Z22" s="12"/>
    </row>
    <row r="23" spans="1:30" ht="12.75" customHeight="1">
      <c r="A23" s="12"/>
      <c r="B23" s="13"/>
      <c r="C23" s="12"/>
      <c r="D23" s="12"/>
      <c r="E23" s="12"/>
      <c r="F23" s="12"/>
      <c r="G23" s="43"/>
      <c r="H23" s="44">
        <f>N24</f>
        <v>0</v>
      </c>
      <c r="I23" s="12"/>
      <c r="J23" s="12"/>
      <c r="K23" s="12"/>
      <c r="L23" s="12"/>
      <c r="M23" s="12"/>
      <c r="N23" s="12"/>
      <c r="O23" s="12"/>
      <c r="P23" s="12"/>
      <c r="Q23" s="12"/>
      <c r="R23" s="12"/>
      <c r="S23" s="12"/>
      <c r="T23" s="12"/>
      <c r="U23" s="12"/>
      <c r="V23" s="12"/>
      <c r="W23" s="12"/>
      <c r="X23" s="12"/>
      <c r="Y23" s="12"/>
      <c r="Z23" s="12"/>
    </row>
    <row r="24" spans="1:30" ht="29.25" customHeight="1">
      <c r="A24" s="12"/>
      <c r="B24" s="12"/>
      <c r="C24" s="122" t="s">
        <v>170</v>
      </c>
      <c r="D24" s="88"/>
      <c r="E24" s="88"/>
      <c r="F24" s="88"/>
      <c r="G24" s="88"/>
      <c r="H24" s="88"/>
      <c r="I24" s="88"/>
      <c r="J24" s="88"/>
      <c r="K24" s="88"/>
      <c r="L24" s="88"/>
      <c r="M24" s="14"/>
      <c r="N24" s="126">
        <f>D10+K10+R10+D18+R18+K18*IF('⚙️ Configuración'!$C$30='⚙️ Configuración'!$C$13,1,'⚙️ Configuración'!$C$31)</f>
        <v>0</v>
      </c>
      <c r="O24" s="88"/>
      <c r="P24" s="88"/>
      <c r="Q24" s="88"/>
      <c r="R24" s="88"/>
      <c r="S24" s="88"/>
      <c r="T24" s="88"/>
      <c r="U24" s="88"/>
      <c r="V24" s="88"/>
      <c r="W24" s="12"/>
      <c r="X24" s="12"/>
      <c r="Y24" s="12"/>
      <c r="Z24" s="12"/>
    </row>
    <row r="25" spans="1:30" ht="21.75" customHeight="1">
      <c r="A25" s="12"/>
      <c r="B25" s="13"/>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30" ht="13.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B26" s="45" t="s">
        <v>171</v>
      </c>
    </row>
    <row r="27" spans="1:30" ht="13.5"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B27" s="28" t="s">
        <v>172</v>
      </c>
      <c r="AD27" s="29">
        <f>D10</f>
        <v>0</v>
      </c>
    </row>
    <row r="28" spans="1:30" ht="13.5"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B28" s="28" t="s">
        <v>173</v>
      </c>
      <c r="AD28" s="29">
        <f>K10</f>
        <v>0</v>
      </c>
    </row>
    <row r="29" spans="1:30" ht="13.5"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B29" s="28" t="s">
        <v>174</v>
      </c>
      <c r="AD29" s="29">
        <f>R10</f>
        <v>0</v>
      </c>
    </row>
    <row r="30" spans="1:30" ht="13.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B30" s="28" t="s">
        <v>175</v>
      </c>
      <c r="AD30" s="29">
        <f>D18</f>
        <v>0</v>
      </c>
    </row>
    <row r="31" spans="1:30" ht="13.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B31" s="28" t="str">
        <f>"💵 Cuenta "&amp;'⚙️ Configuración'!$C$30</f>
        <v>💵 Cuenta USD</v>
      </c>
      <c r="AD31" s="29">
        <f>K18*IF('⚙️ Configuración'!$C$30='⚙️ Configuración'!$C$13,1,'⚙️ Configuración'!$C$31)</f>
        <v>0</v>
      </c>
    </row>
    <row r="32" spans="1:30" ht="13.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B32" s="28" t="s">
        <v>176</v>
      </c>
      <c r="AD32" s="29">
        <f>R18</f>
        <v>0</v>
      </c>
    </row>
    <row r="33" spans="1:26" ht="13.5" customHeight="1">
      <c r="A33" s="12"/>
      <c r="B33" s="12"/>
      <c r="C33" s="12"/>
      <c r="D33" s="12"/>
      <c r="E33" s="46"/>
      <c r="F33" s="12"/>
      <c r="G33" s="12"/>
      <c r="H33" s="12"/>
      <c r="I33" s="12"/>
      <c r="J33" s="12"/>
      <c r="K33" s="12"/>
      <c r="L33" s="12"/>
      <c r="M33" s="12"/>
      <c r="N33" s="12"/>
      <c r="O33" s="12"/>
      <c r="P33" s="12"/>
      <c r="Q33" s="12"/>
      <c r="R33" s="12"/>
      <c r="S33" s="12"/>
      <c r="T33" s="12"/>
      <c r="U33" s="12"/>
      <c r="V33" s="12"/>
      <c r="W33" s="12"/>
      <c r="X33" s="12"/>
      <c r="Y33" s="12"/>
      <c r="Z33" s="12"/>
    </row>
    <row r="34" spans="1:26" ht="13.5" customHeight="1">
      <c r="A34" s="12"/>
      <c r="B34" s="12"/>
      <c r="C34" s="12"/>
      <c r="D34" s="12"/>
      <c r="E34" s="46"/>
      <c r="F34" s="12"/>
      <c r="G34" s="12"/>
      <c r="H34" s="12"/>
      <c r="I34" s="12"/>
      <c r="J34" s="12"/>
      <c r="K34" s="12"/>
      <c r="L34" s="12"/>
      <c r="M34" s="12"/>
      <c r="N34" s="12"/>
      <c r="O34" s="12"/>
      <c r="P34" s="12"/>
      <c r="Q34" s="12"/>
      <c r="R34" s="12"/>
      <c r="S34" s="12"/>
      <c r="T34" s="12"/>
      <c r="U34" s="12"/>
      <c r="V34" s="12"/>
      <c r="W34" s="12"/>
      <c r="X34" s="12"/>
      <c r="Y34" s="12"/>
      <c r="Z34" s="12"/>
    </row>
    <row r="35" spans="1:26" ht="13.5" customHeight="1">
      <c r="A35" s="12"/>
      <c r="B35" s="12"/>
      <c r="C35" s="12"/>
      <c r="D35" s="12"/>
      <c r="E35" s="46"/>
      <c r="F35" s="12"/>
      <c r="G35" s="12"/>
      <c r="H35" s="12"/>
      <c r="I35" s="12"/>
      <c r="J35" s="12"/>
      <c r="K35" s="12"/>
      <c r="L35" s="12"/>
      <c r="M35" s="12"/>
      <c r="N35" s="12"/>
      <c r="O35" s="12"/>
      <c r="P35" s="12"/>
      <c r="Q35" s="12"/>
      <c r="R35" s="12"/>
      <c r="S35" s="12"/>
      <c r="T35" s="12"/>
      <c r="U35" s="12"/>
      <c r="V35" s="12"/>
      <c r="W35" s="12"/>
      <c r="X35" s="12"/>
      <c r="Y35" s="12"/>
      <c r="Z35" s="12"/>
    </row>
    <row r="36" spans="1:26" ht="13.5" customHeight="1">
      <c r="A36" s="12"/>
      <c r="B36" s="12"/>
      <c r="C36" s="12"/>
      <c r="D36" s="12"/>
      <c r="E36" s="46"/>
      <c r="F36" s="12"/>
      <c r="G36" s="12"/>
      <c r="H36" s="12"/>
      <c r="I36" s="12"/>
      <c r="J36" s="12"/>
      <c r="K36" s="12"/>
      <c r="L36" s="12"/>
      <c r="M36" s="12"/>
      <c r="N36" s="12"/>
      <c r="O36" s="12"/>
      <c r="P36" s="12"/>
      <c r="Q36" s="12"/>
      <c r="R36" s="12"/>
      <c r="S36" s="12"/>
      <c r="T36" s="12"/>
      <c r="U36" s="12"/>
      <c r="V36" s="12"/>
      <c r="W36" s="12"/>
      <c r="X36" s="12"/>
      <c r="Y36" s="12"/>
      <c r="Z36" s="12"/>
    </row>
    <row r="37" spans="1:26" ht="13.5" customHeight="1">
      <c r="A37" s="12"/>
      <c r="B37" s="12"/>
      <c r="C37" s="12"/>
      <c r="D37" s="12"/>
      <c r="E37" s="46"/>
      <c r="F37" s="12"/>
      <c r="G37" s="12"/>
      <c r="H37" s="12"/>
      <c r="I37" s="12"/>
      <c r="J37" s="12"/>
      <c r="K37" s="12"/>
      <c r="L37" s="12"/>
      <c r="M37" s="12"/>
      <c r="N37" s="12"/>
      <c r="O37" s="12"/>
      <c r="P37" s="12"/>
      <c r="Q37" s="12"/>
      <c r="R37" s="12"/>
      <c r="S37" s="12"/>
      <c r="T37" s="12"/>
      <c r="U37" s="12"/>
      <c r="V37" s="12"/>
      <c r="W37" s="12"/>
      <c r="X37" s="12"/>
      <c r="Y37" s="12"/>
      <c r="Z37" s="12"/>
    </row>
    <row r="38" spans="1:26" ht="13.5" customHeight="1">
      <c r="A38" s="12"/>
      <c r="B38" s="12"/>
      <c r="C38" s="12"/>
      <c r="D38" s="12"/>
      <c r="E38" s="46"/>
      <c r="F38" s="12"/>
      <c r="G38" s="12"/>
      <c r="H38" s="12"/>
      <c r="I38" s="12"/>
      <c r="J38" s="12"/>
      <c r="K38" s="12"/>
      <c r="L38" s="12"/>
      <c r="M38" s="12"/>
      <c r="N38" s="12"/>
      <c r="O38" s="12"/>
      <c r="P38" s="12"/>
      <c r="Q38" s="12"/>
      <c r="R38" s="12"/>
      <c r="S38" s="12"/>
      <c r="T38" s="12"/>
      <c r="U38" s="12"/>
      <c r="V38" s="12"/>
      <c r="W38" s="12"/>
      <c r="X38" s="12"/>
      <c r="Y38" s="12"/>
      <c r="Z38" s="12"/>
    </row>
    <row r="39" spans="1:26" ht="13.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3.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3.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3.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3.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3.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3.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3.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3.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3.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3.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3.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3.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3.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3.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3.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3.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3.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3.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3.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3.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3.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3.5" customHeight="1">
      <c r="A61" s="5"/>
      <c r="B61" s="5"/>
      <c r="C61" s="5"/>
      <c r="D61" s="5"/>
      <c r="E61" s="5"/>
      <c r="F61" s="5"/>
      <c r="G61" s="5"/>
      <c r="H61" s="5"/>
      <c r="I61" s="5"/>
      <c r="J61" s="5"/>
      <c r="K61" s="5"/>
      <c r="L61" s="5"/>
      <c r="M61" s="5"/>
      <c r="N61" s="5"/>
      <c r="O61" s="5"/>
      <c r="P61" s="5"/>
      <c r="Q61" s="5"/>
      <c r="R61" s="5"/>
      <c r="S61" s="6"/>
      <c r="T61" s="6"/>
      <c r="U61" s="6"/>
      <c r="V61" s="6"/>
      <c r="W61" s="6"/>
      <c r="X61" s="6"/>
      <c r="Y61" s="6"/>
      <c r="Z61" s="6"/>
    </row>
    <row r="62" spans="1:26" ht="13.5" customHeight="1">
      <c r="A62" s="5"/>
      <c r="B62" s="5"/>
      <c r="C62" s="5"/>
      <c r="D62" s="5"/>
      <c r="E62" s="5"/>
      <c r="F62" s="5"/>
      <c r="G62" s="5"/>
      <c r="H62" s="5"/>
      <c r="I62" s="5"/>
      <c r="J62" s="5"/>
      <c r="K62" s="5"/>
      <c r="L62" s="5"/>
      <c r="M62" s="5"/>
      <c r="N62" s="5"/>
      <c r="O62" s="5"/>
      <c r="P62" s="5"/>
      <c r="Q62" s="5"/>
      <c r="R62" s="5"/>
      <c r="S62" s="6"/>
      <c r="T62" s="6"/>
      <c r="U62" s="6"/>
      <c r="V62" s="6"/>
      <c r="W62" s="6"/>
      <c r="X62" s="6"/>
      <c r="Y62" s="6"/>
      <c r="Z62" s="6"/>
    </row>
    <row r="63" spans="1:26" ht="13.5" customHeight="1">
      <c r="A63" s="5"/>
      <c r="B63" s="5"/>
      <c r="C63" s="5"/>
      <c r="D63" s="5"/>
      <c r="E63" s="5"/>
      <c r="F63" s="5"/>
      <c r="G63" s="5"/>
      <c r="H63" s="5"/>
      <c r="I63" s="5"/>
      <c r="J63" s="5"/>
      <c r="K63" s="5"/>
      <c r="L63" s="5"/>
      <c r="M63" s="5"/>
      <c r="N63" s="5"/>
      <c r="O63" s="5"/>
      <c r="P63" s="5"/>
      <c r="Q63" s="5"/>
      <c r="R63" s="5"/>
      <c r="S63" s="6"/>
      <c r="T63" s="6"/>
      <c r="U63" s="6"/>
      <c r="V63" s="6"/>
      <c r="W63" s="6"/>
      <c r="X63" s="6"/>
      <c r="Y63" s="6"/>
      <c r="Z63" s="6"/>
    </row>
    <row r="64" spans="1:26" ht="13.5" customHeight="1">
      <c r="A64" s="5"/>
      <c r="B64" s="5"/>
      <c r="C64" s="5"/>
      <c r="D64" s="5"/>
      <c r="E64" s="5"/>
      <c r="F64" s="5"/>
      <c r="G64" s="5"/>
      <c r="H64" s="5"/>
      <c r="I64" s="5"/>
      <c r="J64" s="5"/>
      <c r="K64" s="5"/>
      <c r="L64" s="5"/>
      <c r="M64" s="5"/>
      <c r="N64" s="5"/>
      <c r="O64" s="5"/>
      <c r="P64" s="5"/>
      <c r="Q64" s="5"/>
      <c r="R64" s="5"/>
      <c r="S64" s="6"/>
      <c r="T64" s="6"/>
      <c r="U64" s="6"/>
      <c r="V64" s="6"/>
      <c r="W64" s="6"/>
      <c r="X64" s="6"/>
      <c r="Y64" s="6"/>
      <c r="Z64" s="6"/>
    </row>
    <row r="65" spans="1:26" ht="13.5" customHeight="1">
      <c r="A65" s="5"/>
      <c r="B65" s="5"/>
      <c r="C65" s="5"/>
      <c r="D65" s="5"/>
      <c r="E65" s="5"/>
      <c r="F65" s="5"/>
      <c r="G65" s="5"/>
      <c r="H65" s="5"/>
      <c r="I65" s="5"/>
      <c r="J65" s="5"/>
      <c r="K65" s="5"/>
      <c r="L65" s="5"/>
      <c r="M65" s="5"/>
      <c r="N65" s="5"/>
      <c r="O65" s="5"/>
      <c r="P65" s="5"/>
      <c r="Q65" s="5"/>
      <c r="R65" s="5"/>
      <c r="S65" s="6"/>
      <c r="T65" s="6"/>
      <c r="U65" s="6"/>
      <c r="V65" s="6"/>
      <c r="W65" s="6"/>
      <c r="X65" s="6"/>
      <c r="Y65" s="6"/>
      <c r="Z65" s="6"/>
    </row>
    <row r="66" spans="1:26" ht="13.5" customHeight="1">
      <c r="A66" s="5"/>
      <c r="B66" s="5"/>
      <c r="C66" s="5"/>
      <c r="D66" s="5"/>
      <c r="E66" s="5"/>
      <c r="F66" s="5"/>
      <c r="G66" s="5"/>
      <c r="H66" s="5"/>
      <c r="I66" s="5"/>
      <c r="J66" s="5"/>
      <c r="K66" s="5"/>
      <c r="L66" s="5"/>
      <c r="M66" s="5"/>
      <c r="N66" s="5"/>
      <c r="O66" s="5"/>
      <c r="P66" s="5"/>
      <c r="Q66" s="5"/>
      <c r="R66" s="5"/>
      <c r="S66" s="6"/>
      <c r="T66" s="6"/>
      <c r="U66" s="6"/>
      <c r="V66" s="6"/>
      <c r="W66" s="6"/>
      <c r="X66" s="6"/>
      <c r="Y66" s="6"/>
      <c r="Z66" s="6"/>
    </row>
    <row r="67" spans="1:26" ht="13.5" customHeight="1">
      <c r="A67" s="5"/>
      <c r="B67" s="5"/>
      <c r="C67" s="5"/>
      <c r="D67" s="5"/>
      <c r="E67" s="5"/>
      <c r="F67" s="5"/>
      <c r="G67" s="5"/>
      <c r="H67" s="5"/>
      <c r="I67" s="5"/>
      <c r="J67" s="5"/>
      <c r="K67" s="5"/>
      <c r="L67" s="5"/>
      <c r="M67" s="5"/>
      <c r="N67" s="5"/>
      <c r="O67" s="5"/>
      <c r="P67" s="5"/>
      <c r="Q67" s="5"/>
      <c r="R67" s="5"/>
      <c r="S67" s="6"/>
      <c r="T67" s="6"/>
      <c r="U67" s="6"/>
      <c r="V67" s="6"/>
      <c r="W67" s="6"/>
      <c r="X67" s="6"/>
      <c r="Y67" s="6"/>
      <c r="Z67" s="6"/>
    </row>
    <row r="68" spans="1:26" ht="13.5" customHeight="1">
      <c r="A68" s="5"/>
      <c r="B68" s="5"/>
      <c r="C68" s="5"/>
      <c r="D68" s="5"/>
      <c r="E68" s="5"/>
      <c r="F68" s="5"/>
      <c r="G68" s="5"/>
      <c r="H68" s="5"/>
      <c r="I68" s="5"/>
      <c r="J68" s="5"/>
      <c r="K68" s="5"/>
      <c r="L68" s="5"/>
      <c r="M68" s="5"/>
      <c r="N68" s="5"/>
      <c r="O68" s="5"/>
      <c r="P68" s="5"/>
      <c r="Q68" s="5"/>
      <c r="R68" s="5"/>
      <c r="S68" s="6"/>
      <c r="T68" s="6"/>
      <c r="U68" s="6"/>
      <c r="V68" s="6"/>
      <c r="W68" s="6"/>
      <c r="X68" s="6"/>
      <c r="Y68" s="6"/>
      <c r="Z68" s="6"/>
    </row>
    <row r="69" spans="1:26" ht="13.5" customHeight="1">
      <c r="A69" s="5"/>
      <c r="B69" s="5"/>
      <c r="C69" s="5"/>
      <c r="D69" s="5"/>
      <c r="E69" s="5"/>
      <c r="F69" s="5"/>
      <c r="G69" s="5"/>
      <c r="H69" s="5"/>
      <c r="I69" s="5"/>
      <c r="J69" s="5"/>
      <c r="K69" s="5"/>
      <c r="L69" s="5"/>
      <c r="M69" s="5"/>
      <c r="N69" s="5"/>
      <c r="O69" s="5"/>
      <c r="P69" s="5"/>
      <c r="Q69" s="5"/>
      <c r="R69" s="5"/>
      <c r="S69" s="6"/>
      <c r="T69" s="6"/>
      <c r="U69" s="6"/>
      <c r="V69" s="6"/>
      <c r="W69" s="6"/>
      <c r="X69" s="6"/>
      <c r="Y69" s="6"/>
      <c r="Z69" s="6"/>
    </row>
    <row r="70" spans="1:26" ht="13.5" customHeight="1">
      <c r="A70" s="5"/>
      <c r="B70" s="5"/>
      <c r="C70" s="5"/>
      <c r="D70" s="5"/>
      <c r="E70" s="5"/>
      <c r="F70" s="5"/>
      <c r="G70" s="5"/>
      <c r="H70" s="5"/>
      <c r="I70" s="5"/>
      <c r="J70" s="5"/>
      <c r="K70" s="5"/>
      <c r="L70" s="5"/>
      <c r="M70" s="5"/>
      <c r="N70" s="5"/>
      <c r="O70" s="5"/>
      <c r="P70" s="5"/>
      <c r="Q70" s="5"/>
      <c r="R70" s="5"/>
      <c r="S70" s="6"/>
      <c r="T70" s="6"/>
      <c r="U70" s="6"/>
      <c r="V70" s="6"/>
      <c r="W70" s="6"/>
      <c r="X70" s="6"/>
      <c r="Y70" s="6"/>
      <c r="Z70" s="6"/>
    </row>
    <row r="71" spans="1:26" ht="13.5" customHeight="1">
      <c r="A71" s="5"/>
      <c r="B71" s="5"/>
      <c r="C71" s="5"/>
      <c r="D71" s="5"/>
      <c r="E71" s="5"/>
      <c r="F71" s="5"/>
      <c r="G71" s="5"/>
      <c r="H71" s="5"/>
      <c r="I71" s="5"/>
      <c r="J71" s="5"/>
      <c r="K71" s="5"/>
      <c r="L71" s="5"/>
      <c r="M71" s="5"/>
      <c r="N71" s="5"/>
      <c r="O71" s="5"/>
      <c r="P71" s="5"/>
      <c r="Q71" s="5"/>
      <c r="R71" s="5"/>
      <c r="S71" s="6"/>
      <c r="T71" s="6"/>
      <c r="U71" s="6"/>
      <c r="V71" s="6"/>
      <c r="W71" s="6"/>
      <c r="X71" s="6"/>
      <c r="Y71" s="6"/>
      <c r="Z71" s="6"/>
    </row>
    <row r="72" spans="1:26" ht="13.5" customHeight="1">
      <c r="A72" s="5"/>
      <c r="B72" s="5"/>
      <c r="C72" s="5"/>
      <c r="D72" s="5"/>
      <c r="E72" s="5"/>
      <c r="F72" s="5"/>
      <c r="G72" s="5"/>
      <c r="H72" s="5"/>
      <c r="I72" s="5"/>
      <c r="J72" s="5"/>
      <c r="K72" s="5"/>
      <c r="L72" s="5"/>
      <c r="M72" s="5"/>
      <c r="N72" s="5"/>
      <c r="O72" s="5"/>
      <c r="P72" s="5"/>
      <c r="Q72" s="5"/>
      <c r="R72" s="5"/>
      <c r="S72" s="6"/>
      <c r="T72" s="6"/>
      <c r="U72" s="6"/>
      <c r="V72" s="6"/>
      <c r="W72" s="6"/>
      <c r="X72" s="6"/>
      <c r="Y72" s="6"/>
      <c r="Z72" s="6"/>
    </row>
    <row r="73" spans="1:26" ht="13.5" customHeight="1">
      <c r="A73" s="5"/>
      <c r="B73" s="5"/>
      <c r="C73" s="5"/>
      <c r="D73" s="5"/>
      <c r="E73" s="5"/>
      <c r="F73" s="5"/>
      <c r="G73" s="5"/>
      <c r="H73" s="5"/>
      <c r="I73" s="5"/>
      <c r="J73" s="5"/>
      <c r="K73" s="5"/>
      <c r="L73" s="5"/>
      <c r="M73" s="5"/>
      <c r="N73" s="5"/>
      <c r="O73" s="5"/>
      <c r="P73" s="5"/>
      <c r="Q73" s="5"/>
      <c r="R73" s="5"/>
      <c r="S73" s="6"/>
      <c r="T73" s="6"/>
      <c r="U73" s="6"/>
      <c r="V73" s="6"/>
      <c r="W73" s="6"/>
      <c r="X73" s="6"/>
      <c r="Y73" s="6"/>
      <c r="Z73" s="6"/>
    </row>
    <row r="74" spans="1:26" ht="13.5" customHeight="1">
      <c r="A74" s="5"/>
      <c r="B74" s="5"/>
      <c r="C74" s="5"/>
      <c r="D74" s="5"/>
      <c r="E74" s="5"/>
      <c r="F74" s="5"/>
      <c r="G74" s="5"/>
      <c r="H74" s="5"/>
      <c r="I74" s="5"/>
      <c r="J74" s="5"/>
      <c r="K74" s="5"/>
      <c r="L74" s="5"/>
      <c r="M74" s="5"/>
      <c r="N74" s="5"/>
      <c r="O74" s="5"/>
      <c r="P74" s="5"/>
      <c r="Q74" s="5"/>
      <c r="R74" s="5"/>
      <c r="S74" s="6"/>
      <c r="T74" s="6"/>
      <c r="U74" s="6"/>
      <c r="V74" s="6"/>
      <c r="W74" s="6"/>
      <c r="X74" s="6"/>
      <c r="Y74" s="6"/>
      <c r="Z74" s="6"/>
    </row>
    <row r="75" spans="1:26" ht="13.5" customHeight="1">
      <c r="A75" s="5"/>
      <c r="B75" s="5"/>
      <c r="C75" s="5"/>
      <c r="D75" s="5"/>
      <c r="E75" s="5"/>
      <c r="F75" s="5"/>
      <c r="G75" s="5"/>
      <c r="H75" s="5"/>
      <c r="I75" s="5"/>
      <c r="J75" s="5"/>
      <c r="K75" s="5"/>
      <c r="L75" s="5"/>
      <c r="M75" s="5"/>
      <c r="N75" s="5"/>
      <c r="O75" s="5"/>
      <c r="P75" s="5"/>
      <c r="Q75" s="5"/>
      <c r="R75" s="5"/>
      <c r="S75" s="6"/>
      <c r="T75" s="6"/>
      <c r="U75" s="6"/>
      <c r="V75" s="6"/>
      <c r="W75" s="6"/>
      <c r="X75" s="6"/>
      <c r="Y75" s="6"/>
      <c r="Z75" s="6"/>
    </row>
    <row r="76" spans="1:26" ht="13.5" customHeight="1">
      <c r="A76" s="5"/>
      <c r="B76" s="5"/>
      <c r="C76" s="5"/>
      <c r="D76" s="5"/>
      <c r="E76" s="5"/>
      <c r="F76" s="5"/>
      <c r="G76" s="5"/>
      <c r="H76" s="5"/>
      <c r="I76" s="5"/>
      <c r="J76" s="5"/>
      <c r="K76" s="5"/>
      <c r="L76" s="5"/>
      <c r="M76" s="5"/>
      <c r="N76" s="5"/>
      <c r="O76" s="5"/>
      <c r="P76" s="5"/>
      <c r="Q76" s="5"/>
      <c r="R76" s="5"/>
      <c r="S76" s="6"/>
      <c r="T76" s="6"/>
      <c r="U76" s="6"/>
      <c r="V76" s="6"/>
      <c r="W76" s="6"/>
      <c r="X76" s="6"/>
      <c r="Y76" s="6"/>
      <c r="Z76" s="6"/>
    </row>
    <row r="77" spans="1:26" ht="13.5" customHeight="1">
      <c r="A77" s="5"/>
      <c r="B77" s="5"/>
      <c r="C77" s="5"/>
      <c r="D77" s="5"/>
      <c r="E77" s="5"/>
      <c r="F77" s="5"/>
      <c r="G77" s="5"/>
      <c r="H77" s="5"/>
      <c r="I77" s="5"/>
      <c r="J77" s="5"/>
      <c r="K77" s="5"/>
      <c r="L77" s="5"/>
      <c r="M77" s="5"/>
      <c r="N77" s="5"/>
      <c r="O77" s="5"/>
      <c r="P77" s="5"/>
      <c r="Q77" s="5"/>
      <c r="R77" s="5"/>
      <c r="S77" s="6"/>
      <c r="T77" s="6"/>
      <c r="U77" s="6"/>
      <c r="V77" s="6"/>
      <c r="W77" s="6"/>
      <c r="X77" s="6"/>
      <c r="Y77" s="6"/>
      <c r="Z77" s="6"/>
    </row>
    <row r="78" spans="1:26" ht="13.5" customHeight="1">
      <c r="A78" s="5"/>
      <c r="B78" s="5"/>
      <c r="C78" s="5"/>
      <c r="D78" s="5"/>
      <c r="E78" s="5"/>
      <c r="F78" s="5"/>
      <c r="G78" s="5"/>
      <c r="H78" s="5"/>
      <c r="I78" s="5"/>
      <c r="J78" s="5"/>
      <c r="K78" s="5"/>
      <c r="L78" s="5"/>
      <c r="M78" s="5"/>
      <c r="N78" s="5"/>
      <c r="O78" s="5"/>
      <c r="P78" s="5"/>
      <c r="Q78" s="5"/>
      <c r="R78" s="5"/>
      <c r="S78" s="6"/>
      <c r="T78" s="6"/>
      <c r="U78" s="6"/>
      <c r="V78" s="6"/>
      <c r="W78" s="6"/>
      <c r="X78" s="6"/>
      <c r="Y78" s="6"/>
      <c r="Z78" s="6"/>
    </row>
    <row r="79" spans="1:26" ht="13.5" customHeight="1">
      <c r="A79" s="5"/>
      <c r="B79" s="5"/>
      <c r="C79" s="5"/>
      <c r="D79" s="5"/>
      <c r="E79" s="5"/>
      <c r="F79" s="5"/>
      <c r="G79" s="5"/>
      <c r="H79" s="5"/>
      <c r="I79" s="5"/>
      <c r="J79" s="5"/>
      <c r="K79" s="5"/>
      <c r="L79" s="5"/>
      <c r="M79" s="5"/>
      <c r="N79" s="5"/>
      <c r="O79" s="5"/>
      <c r="P79" s="5"/>
      <c r="Q79" s="5"/>
      <c r="R79" s="5"/>
      <c r="S79" s="6"/>
      <c r="T79" s="6"/>
      <c r="U79" s="6"/>
      <c r="V79" s="6"/>
      <c r="W79" s="6"/>
      <c r="X79" s="6"/>
      <c r="Y79" s="6"/>
      <c r="Z79" s="6"/>
    </row>
    <row r="80" spans="1:26" ht="13.5" customHeight="1">
      <c r="A80" s="5"/>
      <c r="B80" s="5"/>
      <c r="C80" s="5"/>
      <c r="D80" s="5"/>
      <c r="E80" s="5"/>
      <c r="F80" s="5"/>
      <c r="G80" s="5"/>
      <c r="H80" s="5"/>
      <c r="I80" s="5"/>
      <c r="J80" s="5"/>
      <c r="K80" s="5"/>
      <c r="L80" s="5"/>
      <c r="M80" s="5"/>
      <c r="N80" s="5"/>
      <c r="O80" s="5"/>
      <c r="P80" s="5"/>
      <c r="Q80" s="5"/>
      <c r="R80" s="5"/>
      <c r="S80" s="6"/>
      <c r="T80" s="6"/>
      <c r="U80" s="6"/>
      <c r="V80" s="6"/>
      <c r="W80" s="6"/>
      <c r="X80" s="6"/>
      <c r="Y80" s="6"/>
      <c r="Z80" s="6"/>
    </row>
    <row r="81" spans="1:26"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29">
    <mergeCell ref="Q7:T7"/>
    <mergeCell ref="U7:V7"/>
    <mergeCell ref="B2:F2"/>
    <mergeCell ref="J2:T5"/>
    <mergeCell ref="B3:F4"/>
    <mergeCell ref="C7:F7"/>
    <mergeCell ref="G7:H7"/>
    <mergeCell ref="J7:M7"/>
    <mergeCell ref="N7:O7"/>
    <mergeCell ref="C24:L24"/>
    <mergeCell ref="N15:O15"/>
    <mergeCell ref="Q15:T15"/>
    <mergeCell ref="Q17:R17"/>
    <mergeCell ref="R18:V18"/>
    <mergeCell ref="N24:V24"/>
    <mergeCell ref="C15:F15"/>
    <mergeCell ref="U15:V15"/>
    <mergeCell ref="G15:H15"/>
    <mergeCell ref="J15:M15"/>
    <mergeCell ref="C17:D17"/>
    <mergeCell ref="J17:K17"/>
    <mergeCell ref="D18:H18"/>
    <mergeCell ref="K18:O18"/>
    <mergeCell ref="C9:D9"/>
    <mergeCell ref="J9:K9"/>
    <mergeCell ref="Q9:R9"/>
    <mergeCell ref="D10:H10"/>
    <mergeCell ref="K10:O10"/>
    <mergeCell ref="R10:V10"/>
  </mergeCells>
  <pageMargins left="0.75" right="0.75" top="1" bottom="1"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A8C7E"/>
  </sheetPr>
  <dimension ref="A1:Z1000"/>
  <sheetViews>
    <sheetView showGridLines="0" workbookViewId="0"/>
  </sheetViews>
  <sheetFormatPr baseColWidth="10" defaultColWidth="12.59765625" defaultRowHeight="15" customHeight="1"/>
  <cols>
    <col min="1" max="1" width="2" customWidth="1"/>
    <col min="2" max="2" width="5" customWidth="1"/>
    <col min="3" max="3" width="22.3984375" customWidth="1"/>
    <col min="4" max="4" width="21" customWidth="1"/>
    <col min="5" max="5" width="13.69921875" customWidth="1"/>
    <col min="6" max="6" width="10.69921875" customWidth="1"/>
    <col min="7" max="7" width="15.3984375" customWidth="1"/>
    <col min="8" max="8" width="17.19921875" customWidth="1"/>
    <col min="9" max="9" width="16.8984375" customWidth="1"/>
    <col min="10" max="10" width="12" customWidth="1"/>
    <col min="11" max="11" width="4" customWidth="1"/>
    <col min="12" max="13" width="10" customWidth="1"/>
    <col min="14" max="22" width="8.69921875" customWidth="1"/>
    <col min="23" max="26" width="14.3984375" customWidth="1"/>
  </cols>
  <sheetData>
    <row r="1" spans="1:26" ht="6" customHeight="1">
      <c r="A1" s="7"/>
      <c r="B1" s="7"/>
      <c r="C1" s="7"/>
      <c r="D1" s="7"/>
      <c r="E1" s="7"/>
      <c r="F1" s="7"/>
      <c r="G1" s="7"/>
      <c r="H1" s="7"/>
      <c r="I1" s="7"/>
      <c r="J1" s="7"/>
      <c r="K1" s="7"/>
      <c r="L1" s="7"/>
      <c r="M1" s="7"/>
      <c r="N1" s="7"/>
      <c r="O1" s="7"/>
      <c r="P1" s="7"/>
      <c r="Q1" s="7"/>
      <c r="R1" s="7"/>
      <c r="S1" s="7"/>
      <c r="T1" s="7"/>
      <c r="U1" s="7"/>
      <c r="V1" s="7"/>
      <c r="W1" s="6"/>
      <c r="X1" s="6"/>
      <c r="Y1" s="6"/>
      <c r="Z1" s="6"/>
    </row>
    <row r="2" spans="1:26" ht="21.75" customHeight="1">
      <c r="A2" s="7"/>
      <c r="B2" s="9" t="s">
        <v>177</v>
      </c>
      <c r="C2" s="9"/>
      <c r="D2" s="9"/>
      <c r="E2" s="9"/>
      <c r="F2" s="119" t="s">
        <v>178</v>
      </c>
      <c r="G2" s="109"/>
      <c r="H2" s="109"/>
      <c r="I2" s="109"/>
      <c r="J2" s="109"/>
      <c r="K2" s="109"/>
      <c r="L2" s="109"/>
      <c r="M2" s="109"/>
      <c r="N2" s="109"/>
      <c r="O2" s="109"/>
      <c r="P2" s="109"/>
      <c r="Q2" s="109"/>
      <c r="R2" s="109"/>
      <c r="S2" s="109"/>
      <c r="T2" s="109"/>
      <c r="U2" s="7"/>
      <c r="V2" s="7"/>
      <c r="W2" s="6"/>
      <c r="X2" s="6"/>
      <c r="Y2" s="6"/>
      <c r="Z2" s="6"/>
    </row>
    <row r="3" spans="1:26" ht="15.75" customHeight="1">
      <c r="A3" s="7"/>
      <c r="B3" s="10" t="s">
        <v>179</v>
      </c>
      <c r="C3" s="10"/>
      <c r="D3" s="10"/>
      <c r="E3" s="10"/>
      <c r="F3" s="110"/>
      <c r="G3" s="111"/>
      <c r="H3" s="111"/>
      <c r="I3" s="111"/>
      <c r="J3" s="111"/>
      <c r="K3" s="111"/>
      <c r="L3" s="111"/>
      <c r="M3" s="111"/>
      <c r="N3" s="111"/>
      <c r="O3" s="111"/>
      <c r="P3" s="111"/>
      <c r="Q3" s="111"/>
      <c r="R3" s="111"/>
      <c r="S3" s="111"/>
      <c r="T3" s="111"/>
      <c r="U3" s="7"/>
      <c r="V3" s="7"/>
      <c r="W3" s="6"/>
      <c r="X3" s="6"/>
      <c r="Y3" s="6"/>
      <c r="Z3" s="6"/>
    </row>
    <row r="4" spans="1:26" ht="6" customHeight="1">
      <c r="A4" s="7"/>
      <c r="B4" s="7"/>
      <c r="C4" s="7"/>
      <c r="D4" s="7"/>
      <c r="E4" s="7"/>
      <c r="F4" s="110"/>
      <c r="G4" s="111"/>
      <c r="H4" s="111"/>
      <c r="I4" s="111"/>
      <c r="J4" s="111"/>
      <c r="K4" s="111"/>
      <c r="L4" s="111"/>
      <c r="M4" s="111"/>
      <c r="N4" s="111"/>
      <c r="O4" s="111"/>
      <c r="P4" s="111"/>
      <c r="Q4" s="111"/>
      <c r="R4" s="111"/>
      <c r="S4" s="111"/>
      <c r="T4" s="111"/>
      <c r="U4" s="1"/>
      <c r="V4" s="1"/>
      <c r="W4" s="6"/>
      <c r="X4" s="6"/>
      <c r="Y4" s="6"/>
      <c r="Z4" s="6"/>
    </row>
    <row r="5" spans="1:26" ht="44.25" customHeight="1">
      <c r="A5" s="7"/>
      <c r="B5" s="7"/>
      <c r="C5" s="7"/>
      <c r="D5" s="7"/>
      <c r="E5" s="7"/>
      <c r="F5" s="110"/>
      <c r="G5" s="111"/>
      <c r="H5" s="111"/>
      <c r="I5" s="111"/>
      <c r="J5" s="111"/>
      <c r="K5" s="111"/>
      <c r="L5" s="111"/>
      <c r="M5" s="111"/>
      <c r="N5" s="111"/>
      <c r="O5" s="111"/>
      <c r="P5" s="111"/>
      <c r="Q5" s="111"/>
      <c r="R5" s="111"/>
      <c r="S5" s="111"/>
      <c r="T5" s="111"/>
      <c r="U5" s="7"/>
      <c r="V5" s="7"/>
      <c r="W5" s="6"/>
      <c r="X5" s="6"/>
      <c r="Y5" s="6"/>
      <c r="Z5" s="6"/>
    </row>
    <row r="6" spans="1:26" ht="11.25" customHeight="1">
      <c r="A6" s="16"/>
      <c r="B6" s="17"/>
      <c r="C6" s="17"/>
      <c r="D6" s="17"/>
      <c r="E6" s="17"/>
      <c r="F6" s="17"/>
      <c r="G6" s="17"/>
      <c r="H6" s="17"/>
      <c r="I6" s="17"/>
      <c r="J6" s="17"/>
      <c r="K6" s="17"/>
      <c r="L6" s="17"/>
      <c r="M6" s="17"/>
      <c r="N6" s="17"/>
      <c r="O6" s="17"/>
      <c r="P6" s="16"/>
      <c r="Q6" s="16"/>
      <c r="R6" s="16"/>
      <c r="S6" s="16"/>
      <c r="T6" s="16"/>
      <c r="U6" s="16"/>
      <c r="V6" s="16"/>
      <c r="W6" s="5"/>
      <c r="X6" s="5"/>
      <c r="Y6" s="6"/>
      <c r="Z6" s="6"/>
    </row>
    <row r="7" spans="1:26" ht="21.75" customHeight="1">
      <c r="A7" s="16"/>
      <c r="B7" s="129" t="s">
        <v>180</v>
      </c>
      <c r="C7" s="88"/>
      <c r="D7" s="88"/>
      <c r="E7" s="88"/>
      <c r="F7" s="88"/>
      <c r="G7" s="88"/>
      <c r="H7" s="88"/>
      <c r="I7" s="88"/>
      <c r="J7" s="88"/>
      <c r="K7" s="16"/>
      <c r="L7" s="16"/>
      <c r="M7" s="16"/>
      <c r="N7" s="16"/>
      <c r="O7" s="16"/>
      <c r="P7" s="16"/>
      <c r="Q7" s="16"/>
      <c r="R7" s="16"/>
      <c r="S7" s="16"/>
      <c r="T7" s="16"/>
      <c r="U7" s="16"/>
      <c r="V7" s="16"/>
      <c r="W7" s="6"/>
      <c r="X7" s="6"/>
      <c r="Y7" s="6"/>
      <c r="Z7" s="6"/>
    </row>
    <row r="8" spans="1:26" ht="21.75" customHeight="1">
      <c r="A8" s="16"/>
      <c r="B8" s="31" t="s">
        <v>181</v>
      </c>
      <c r="C8" s="31" t="s">
        <v>182</v>
      </c>
      <c r="D8" s="31" t="s">
        <v>146</v>
      </c>
      <c r="E8" s="31" t="s">
        <v>183</v>
      </c>
      <c r="F8" s="31" t="s">
        <v>184</v>
      </c>
      <c r="G8" s="31" t="s">
        <v>185</v>
      </c>
      <c r="H8" s="31" t="s">
        <v>186</v>
      </c>
      <c r="I8" s="31" t="s">
        <v>187</v>
      </c>
      <c r="J8" s="31" t="s">
        <v>155</v>
      </c>
      <c r="K8" s="16"/>
      <c r="L8" s="47"/>
      <c r="M8" s="47"/>
      <c r="N8" s="47"/>
      <c r="O8" s="16"/>
      <c r="P8" s="16"/>
      <c r="Q8" s="16"/>
      <c r="R8" s="16"/>
      <c r="S8" s="16"/>
      <c r="T8" s="16"/>
      <c r="U8" s="16"/>
      <c r="V8" s="16"/>
      <c r="W8" s="6"/>
      <c r="X8" s="6"/>
      <c r="Y8" s="6"/>
      <c r="Z8" s="6"/>
    </row>
    <row r="9" spans="1:26" ht="20.25" customHeight="1">
      <c r="A9" s="16"/>
      <c r="B9" s="48">
        <v>1</v>
      </c>
      <c r="C9" s="80"/>
      <c r="D9" s="80"/>
      <c r="E9" s="80"/>
      <c r="F9" s="80"/>
      <c r="G9" s="81"/>
      <c r="H9" s="86">
        <f t="shared" ref="H9:H33" si="0">IF(OR(J9="Activo",J9=""),IFERROR(G9*VLOOKUP(E9,$C$50:$D$56,2,FALSE()),0),0)</f>
        <v>0</v>
      </c>
      <c r="I9" s="80"/>
      <c r="J9" s="80"/>
      <c r="K9" s="16"/>
      <c r="L9" s="47"/>
      <c r="M9" s="47"/>
      <c r="N9" s="47"/>
      <c r="O9" s="16"/>
      <c r="P9" s="16"/>
      <c r="Q9" s="16"/>
      <c r="R9" s="16"/>
      <c r="S9" s="16"/>
      <c r="T9" s="16"/>
      <c r="U9" s="16"/>
      <c r="V9" s="16"/>
      <c r="W9" s="6"/>
      <c r="X9" s="6"/>
      <c r="Y9" s="6"/>
      <c r="Z9" s="6"/>
    </row>
    <row r="10" spans="1:26" ht="20.25" customHeight="1">
      <c r="A10" s="16"/>
      <c r="B10" s="48">
        <v>2</v>
      </c>
      <c r="C10" s="80"/>
      <c r="D10" s="80"/>
      <c r="E10" s="80"/>
      <c r="F10" s="80"/>
      <c r="G10" s="81"/>
      <c r="H10" s="86">
        <f t="shared" si="0"/>
        <v>0</v>
      </c>
      <c r="I10" s="80"/>
      <c r="J10" s="80"/>
      <c r="K10" s="16"/>
      <c r="L10" s="47"/>
      <c r="M10" s="47"/>
      <c r="N10" s="47"/>
      <c r="O10" s="16"/>
      <c r="P10" s="16"/>
      <c r="Q10" s="16"/>
      <c r="R10" s="16"/>
      <c r="S10" s="16"/>
      <c r="T10" s="16"/>
      <c r="U10" s="16"/>
      <c r="V10" s="16"/>
      <c r="W10" s="6"/>
      <c r="X10" s="6"/>
      <c r="Y10" s="6"/>
      <c r="Z10" s="6"/>
    </row>
    <row r="11" spans="1:26" ht="20.25" customHeight="1">
      <c r="A11" s="16"/>
      <c r="B11" s="48">
        <v>3</v>
      </c>
      <c r="C11" s="80"/>
      <c r="D11" s="80"/>
      <c r="E11" s="80"/>
      <c r="F11" s="80"/>
      <c r="G11" s="81"/>
      <c r="H11" s="86">
        <f t="shared" si="0"/>
        <v>0</v>
      </c>
      <c r="I11" s="80"/>
      <c r="J11" s="80"/>
      <c r="K11" s="16"/>
      <c r="L11" s="47"/>
      <c r="M11" s="47"/>
      <c r="N11" s="47"/>
      <c r="O11" s="16"/>
      <c r="P11" s="16"/>
      <c r="Q11" s="16"/>
      <c r="R11" s="16"/>
      <c r="S11" s="16"/>
      <c r="T11" s="16"/>
      <c r="U11" s="16"/>
      <c r="V11" s="16"/>
      <c r="W11" s="6"/>
      <c r="X11" s="6"/>
      <c r="Y11" s="6"/>
      <c r="Z11" s="6"/>
    </row>
    <row r="12" spans="1:26" ht="20.25" customHeight="1">
      <c r="A12" s="16"/>
      <c r="B12" s="48">
        <v>4</v>
      </c>
      <c r="C12" s="80"/>
      <c r="D12" s="80"/>
      <c r="E12" s="80"/>
      <c r="F12" s="80"/>
      <c r="G12" s="81"/>
      <c r="H12" s="86">
        <f t="shared" si="0"/>
        <v>0</v>
      </c>
      <c r="I12" s="80"/>
      <c r="J12" s="80"/>
      <c r="K12" s="16"/>
      <c r="L12" s="47"/>
      <c r="M12" s="47"/>
      <c r="N12" s="47"/>
      <c r="O12" s="16"/>
      <c r="P12" s="16"/>
      <c r="Q12" s="16"/>
      <c r="R12" s="16"/>
      <c r="S12" s="16"/>
      <c r="T12" s="16"/>
      <c r="U12" s="16"/>
      <c r="V12" s="16"/>
      <c r="W12" s="6"/>
      <c r="X12" s="6"/>
      <c r="Y12" s="6"/>
      <c r="Z12" s="6"/>
    </row>
    <row r="13" spans="1:26" ht="20.25" customHeight="1">
      <c r="A13" s="16"/>
      <c r="B13" s="48">
        <v>5</v>
      </c>
      <c r="C13" s="80"/>
      <c r="D13" s="80"/>
      <c r="E13" s="80"/>
      <c r="F13" s="80"/>
      <c r="G13" s="81"/>
      <c r="H13" s="86">
        <f t="shared" si="0"/>
        <v>0</v>
      </c>
      <c r="I13" s="80"/>
      <c r="J13" s="80"/>
      <c r="K13" s="16"/>
      <c r="L13" s="47"/>
      <c r="M13" s="47"/>
      <c r="N13" s="47"/>
      <c r="O13" s="16"/>
      <c r="P13" s="16"/>
      <c r="Q13" s="16"/>
      <c r="R13" s="16"/>
      <c r="S13" s="16"/>
      <c r="T13" s="16"/>
      <c r="U13" s="16"/>
      <c r="V13" s="16"/>
      <c r="W13" s="6"/>
      <c r="X13" s="6"/>
      <c r="Y13" s="6"/>
      <c r="Z13" s="6"/>
    </row>
    <row r="14" spans="1:26" ht="20.25" customHeight="1">
      <c r="A14" s="16"/>
      <c r="B14" s="48">
        <v>6</v>
      </c>
      <c r="C14" s="80"/>
      <c r="D14" s="80"/>
      <c r="E14" s="80"/>
      <c r="F14" s="80"/>
      <c r="G14" s="81"/>
      <c r="H14" s="86">
        <f t="shared" si="0"/>
        <v>0</v>
      </c>
      <c r="I14" s="80"/>
      <c r="J14" s="80"/>
      <c r="K14" s="16"/>
      <c r="L14" s="47"/>
      <c r="M14" s="47"/>
      <c r="N14" s="47"/>
      <c r="O14" s="16"/>
      <c r="P14" s="16"/>
      <c r="Q14" s="16"/>
      <c r="R14" s="16"/>
      <c r="S14" s="16"/>
      <c r="T14" s="16"/>
      <c r="U14" s="16"/>
      <c r="V14" s="16"/>
      <c r="W14" s="6"/>
      <c r="X14" s="6"/>
      <c r="Y14" s="6"/>
      <c r="Z14" s="6"/>
    </row>
    <row r="15" spans="1:26" ht="20.25" customHeight="1">
      <c r="A15" s="16"/>
      <c r="B15" s="48">
        <v>7</v>
      </c>
      <c r="C15" s="80"/>
      <c r="D15" s="80"/>
      <c r="E15" s="80"/>
      <c r="F15" s="80"/>
      <c r="G15" s="81"/>
      <c r="H15" s="86">
        <f t="shared" si="0"/>
        <v>0</v>
      </c>
      <c r="I15" s="80"/>
      <c r="J15" s="80"/>
      <c r="K15" s="16"/>
      <c r="L15" s="47"/>
      <c r="M15" s="47"/>
      <c r="N15" s="47"/>
      <c r="O15" s="16"/>
      <c r="P15" s="16"/>
      <c r="Q15" s="16"/>
      <c r="R15" s="16"/>
      <c r="S15" s="16"/>
      <c r="T15" s="16"/>
      <c r="U15" s="16"/>
      <c r="V15" s="16"/>
      <c r="W15" s="6"/>
      <c r="X15" s="6"/>
      <c r="Y15" s="6"/>
      <c r="Z15" s="6"/>
    </row>
    <row r="16" spans="1:26" ht="20.25" customHeight="1">
      <c r="A16" s="16"/>
      <c r="B16" s="48">
        <v>8</v>
      </c>
      <c r="C16" s="80"/>
      <c r="D16" s="80"/>
      <c r="E16" s="80"/>
      <c r="F16" s="80"/>
      <c r="G16" s="81"/>
      <c r="H16" s="86">
        <f t="shared" si="0"/>
        <v>0</v>
      </c>
      <c r="I16" s="80"/>
      <c r="J16" s="80"/>
      <c r="K16" s="16"/>
      <c r="L16" s="47"/>
      <c r="M16" s="47"/>
      <c r="N16" s="47"/>
      <c r="O16" s="16"/>
      <c r="P16" s="16"/>
      <c r="Q16" s="16"/>
      <c r="R16" s="16"/>
      <c r="S16" s="16"/>
      <c r="T16" s="16"/>
      <c r="U16" s="16"/>
      <c r="V16" s="16"/>
      <c r="W16" s="6"/>
      <c r="X16" s="6"/>
      <c r="Y16" s="6"/>
      <c r="Z16" s="6"/>
    </row>
    <row r="17" spans="1:26" ht="30" customHeight="1">
      <c r="A17" s="16"/>
      <c r="B17" s="48">
        <v>9</v>
      </c>
      <c r="C17" s="80"/>
      <c r="D17" s="80"/>
      <c r="E17" s="80"/>
      <c r="F17" s="80"/>
      <c r="G17" s="81"/>
      <c r="H17" s="86">
        <f t="shared" si="0"/>
        <v>0</v>
      </c>
      <c r="I17" s="80"/>
      <c r="J17" s="80"/>
      <c r="K17" s="16"/>
      <c r="L17" s="47"/>
      <c r="M17" s="47"/>
      <c r="N17" s="47"/>
      <c r="O17" s="16"/>
      <c r="P17" s="16"/>
      <c r="Q17" s="16"/>
      <c r="R17" s="16"/>
      <c r="S17" s="16"/>
      <c r="T17" s="16"/>
      <c r="U17" s="16"/>
      <c r="V17" s="16"/>
      <c r="W17" s="6"/>
      <c r="X17" s="6"/>
      <c r="Y17" s="6"/>
      <c r="Z17" s="6"/>
    </row>
    <row r="18" spans="1:26" ht="20.25" customHeight="1">
      <c r="A18" s="16"/>
      <c r="B18" s="48">
        <v>10</v>
      </c>
      <c r="C18" s="80"/>
      <c r="D18" s="80"/>
      <c r="E18" s="80"/>
      <c r="F18" s="80"/>
      <c r="G18" s="81"/>
      <c r="H18" s="86">
        <f t="shared" si="0"/>
        <v>0</v>
      </c>
      <c r="I18" s="80"/>
      <c r="J18" s="80"/>
      <c r="K18" s="16"/>
      <c r="L18" s="47"/>
      <c r="M18" s="47"/>
      <c r="N18" s="47"/>
      <c r="O18" s="16"/>
      <c r="P18" s="16"/>
      <c r="Q18" s="16"/>
      <c r="R18" s="16"/>
      <c r="S18" s="16"/>
      <c r="T18" s="16"/>
      <c r="U18" s="16"/>
      <c r="V18" s="16"/>
      <c r="W18" s="6"/>
      <c r="X18" s="6"/>
      <c r="Y18" s="6"/>
      <c r="Z18" s="6"/>
    </row>
    <row r="19" spans="1:26" ht="20.25" customHeight="1">
      <c r="A19" s="16"/>
      <c r="B19" s="48">
        <v>11</v>
      </c>
      <c r="C19" s="80"/>
      <c r="D19" s="80"/>
      <c r="E19" s="80"/>
      <c r="F19" s="80"/>
      <c r="G19" s="81"/>
      <c r="H19" s="86">
        <f t="shared" si="0"/>
        <v>0</v>
      </c>
      <c r="I19" s="80"/>
      <c r="J19" s="80"/>
      <c r="K19" s="16"/>
      <c r="L19" s="47"/>
      <c r="M19" s="47"/>
      <c r="N19" s="47"/>
      <c r="O19" s="16"/>
      <c r="P19" s="16"/>
      <c r="Q19" s="16"/>
      <c r="R19" s="16"/>
      <c r="S19" s="16"/>
      <c r="T19" s="16"/>
      <c r="U19" s="16"/>
      <c r="V19" s="16"/>
      <c r="W19" s="6"/>
      <c r="X19" s="6"/>
      <c r="Y19" s="6"/>
      <c r="Z19" s="6"/>
    </row>
    <row r="20" spans="1:26" ht="20.25" customHeight="1">
      <c r="A20" s="16"/>
      <c r="B20" s="48">
        <v>12</v>
      </c>
      <c r="C20" s="80"/>
      <c r="D20" s="80"/>
      <c r="E20" s="80"/>
      <c r="F20" s="80"/>
      <c r="G20" s="81"/>
      <c r="H20" s="86">
        <f t="shared" si="0"/>
        <v>0</v>
      </c>
      <c r="I20" s="80"/>
      <c r="J20" s="80"/>
      <c r="K20" s="16"/>
      <c r="L20" s="47"/>
      <c r="M20" s="47"/>
      <c r="N20" s="47"/>
      <c r="O20" s="16"/>
      <c r="P20" s="16"/>
      <c r="Q20" s="16"/>
      <c r="R20" s="16"/>
      <c r="S20" s="16"/>
      <c r="T20" s="16"/>
      <c r="U20" s="16"/>
      <c r="V20" s="16"/>
      <c r="W20" s="6"/>
      <c r="X20" s="6"/>
      <c r="Y20" s="6"/>
      <c r="Z20" s="6"/>
    </row>
    <row r="21" spans="1:26" ht="20.25" customHeight="1">
      <c r="A21" s="16"/>
      <c r="B21" s="48">
        <v>13</v>
      </c>
      <c r="C21" s="80"/>
      <c r="D21" s="80"/>
      <c r="E21" s="80"/>
      <c r="F21" s="80"/>
      <c r="G21" s="81"/>
      <c r="H21" s="86">
        <f t="shared" si="0"/>
        <v>0</v>
      </c>
      <c r="I21" s="80"/>
      <c r="J21" s="80"/>
      <c r="K21" s="16"/>
      <c r="L21" s="47"/>
      <c r="M21" s="47"/>
      <c r="N21" s="47"/>
      <c r="O21" s="16"/>
      <c r="P21" s="16"/>
      <c r="Q21" s="16"/>
      <c r="R21" s="16"/>
      <c r="S21" s="16"/>
      <c r="T21" s="16"/>
      <c r="U21" s="16"/>
      <c r="V21" s="16"/>
      <c r="W21" s="6"/>
      <c r="X21" s="6"/>
      <c r="Y21" s="6"/>
      <c r="Z21" s="6"/>
    </row>
    <row r="22" spans="1:26" ht="20.25" customHeight="1">
      <c r="A22" s="16"/>
      <c r="B22" s="48">
        <v>14</v>
      </c>
      <c r="C22" s="80"/>
      <c r="D22" s="80"/>
      <c r="E22" s="80"/>
      <c r="F22" s="80"/>
      <c r="G22" s="81"/>
      <c r="H22" s="86">
        <f t="shared" si="0"/>
        <v>0</v>
      </c>
      <c r="I22" s="80"/>
      <c r="J22" s="80"/>
      <c r="K22" s="16"/>
      <c r="L22" s="47"/>
      <c r="M22" s="47"/>
      <c r="N22" s="47"/>
      <c r="O22" s="16"/>
      <c r="P22" s="16"/>
      <c r="Q22" s="16"/>
      <c r="R22" s="16"/>
      <c r="S22" s="16"/>
      <c r="T22" s="16"/>
      <c r="U22" s="16"/>
      <c r="V22" s="16"/>
      <c r="W22" s="6"/>
      <c r="X22" s="6"/>
      <c r="Y22" s="6"/>
      <c r="Z22" s="6"/>
    </row>
    <row r="23" spans="1:26" ht="20.25" customHeight="1">
      <c r="A23" s="16"/>
      <c r="B23" s="48">
        <v>15</v>
      </c>
      <c r="C23" s="80"/>
      <c r="D23" s="80"/>
      <c r="E23" s="80"/>
      <c r="F23" s="80"/>
      <c r="G23" s="81"/>
      <c r="H23" s="86">
        <f t="shared" si="0"/>
        <v>0</v>
      </c>
      <c r="I23" s="80"/>
      <c r="J23" s="80"/>
      <c r="K23" s="16"/>
      <c r="L23" s="47"/>
      <c r="M23" s="47"/>
      <c r="N23" s="47"/>
      <c r="O23" s="16"/>
      <c r="P23" s="16"/>
      <c r="Q23" s="16"/>
      <c r="R23" s="16"/>
      <c r="S23" s="16"/>
      <c r="T23" s="16"/>
      <c r="U23" s="16"/>
      <c r="V23" s="16"/>
      <c r="W23" s="6"/>
      <c r="X23" s="6"/>
      <c r="Y23" s="6"/>
      <c r="Z23" s="6"/>
    </row>
    <row r="24" spans="1:26" ht="20.25" customHeight="1">
      <c r="A24" s="16"/>
      <c r="B24" s="48">
        <v>16</v>
      </c>
      <c r="C24" s="80"/>
      <c r="D24" s="80"/>
      <c r="E24" s="80"/>
      <c r="F24" s="80"/>
      <c r="G24" s="81"/>
      <c r="H24" s="86">
        <f t="shared" si="0"/>
        <v>0</v>
      </c>
      <c r="I24" s="80"/>
      <c r="J24" s="80"/>
      <c r="K24" s="16"/>
      <c r="L24" s="47"/>
      <c r="M24" s="47"/>
      <c r="N24" s="47"/>
      <c r="O24" s="16"/>
      <c r="P24" s="16"/>
      <c r="Q24" s="16"/>
      <c r="R24" s="16"/>
      <c r="S24" s="16"/>
      <c r="T24" s="16"/>
      <c r="U24" s="16"/>
      <c r="V24" s="16"/>
      <c r="W24" s="6"/>
      <c r="X24" s="6"/>
      <c r="Y24" s="6"/>
      <c r="Z24" s="6"/>
    </row>
    <row r="25" spans="1:26" ht="20.25" customHeight="1">
      <c r="A25" s="16"/>
      <c r="B25" s="48">
        <v>17</v>
      </c>
      <c r="C25" s="80"/>
      <c r="D25" s="80"/>
      <c r="E25" s="80"/>
      <c r="F25" s="80"/>
      <c r="G25" s="81"/>
      <c r="H25" s="86">
        <f t="shared" si="0"/>
        <v>0</v>
      </c>
      <c r="I25" s="80"/>
      <c r="J25" s="80"/>
      <c r="K25" s="16"/>
      <c r="L25" s="47"/>
      <c r="M25" s="47"/>
      <c r="N25" s="47"/>
      <c r="O25" s="16"/>
      <c r="P25" s="16"/>
      <c r="Q25" s="16"/>
      <c r="R25" s="16"/>
      <c r="S25" s="16"/>
      <c r="T25" s="16"/>
      <c r="U25" s="16"/>
      <c r="V25" s="16"/>
      <c r="W25" s="6"/>
      <c r="X25" s="6"/>
      <c r="Y25" s="6"/>
      <c r="Z25" s="6"/>
    </row>
    <row r="26" spans="1:26" ht="20.25" customHeight="1">
      <c r="A26" s="16"/>
      <c r="B26" s="48">
        <v>18</v>
      </c>
      <c r="C26" s="80"/>
      <c r="D26" s="80"/>
      <c r="E26" s="80"/>
      <c r="F26" s="80"/>
      <c r="G26" s="81"/>
      <c r="H26" s="86">
        <f t="shared" si="0"/>
        <v>0</v>
      </c>
      <c r="I26" s="80"/>
      <c r="J26" s="80"/>
      <c r="K26" s="16"/>
      <c r="L26" s="16"/>
      <c r="M26" s="16"/>
      <c r="N26" s="16"/>
      <c r="O26" s="16"/>
      <c r="P26" s="16"/>
      <c r="Q26" s="16"/>
      <c r="R26" s="16"/>
      <c r="S26" s="16"/>
      <c r="T26" s="16"/>
      <c r="U26" s="16"/>
      <c r="V26" s="16"/>
      <c r="W26" s="6"/>
      <c r="X26" s="6"/>
      <c r="Y26" s="6"/>
      <c r="Z26" s="6"/>
    </row>
    <row r="27" spans="1:26" ht="20.25" customHeight="1">
      <c r="A27" s="16"/>
      <c r="B27" s="48">
        <v>19</v>
      </c>
      <c r="C27" s="80"/>
      <c r="D27" s="80"/>
      <c r="E27" s="80"/>
      <c r="F27" s="80"/>
      <c r="G27" s="81"/>
      <c r="H27" s="86">
        <f t="shared" si="0"/>
        <v>0</v>
      </c>
      <c r="I27" s="80"/>
      <c r="J27" s="80"/>
      <c r="K27" s="16"/>
      <c r="L27" s="16"/>
      <c r="M27" s="16"/>
      <c r="N27" s="16"/>
      <c r="O27" s="16"/>
      <c r="P27" s="16"/>
      <c r="Q27" s="16"/>
      <c r="R27" s="16"/>
      <c r="S27" s="16"/>
      <c r="T27" s="16"/>
      <c r="U27" s="16"/>
      <c r="V27" s="16"/>
      <c r="W27" s="6"/>
      <c r="X27" s="6"/>
      <c r="Y27" s="6"/>
      <c r="Z27" s="6"/>
    </row>
    <row r="28" spans="1:26" ht="20.25" customHeight="1">
      <c r="A28" s="16"/>
      <c r="B28" s="48">
        <v>20</v>
      </c>
      <c r="C28" s="80"/>
      <c r="D28" s="80"/>
      <c r="E28" s="80"/>
      <c r="F28" s="80"/>
      <c r="G28" s="81"/>
      <c r="H28" s="86">
        <f t="shared" si="0"/>
        <v>0</v>
      </c>
      <c r="I28" s="80"/>
      <c r="J28" s="80"/>
      <c r="K28" s="16"/>
      <c r="L28" s="16"/>
      <c r="M28" s="16"/>
      <c r="N28" s="16"/>
      <c r="O28" s="16"/>
      <c r="P28" s="16"/>
      <c r="Q28" s="16"/>
      <c r="R28" s="16"/>
      <c r="S28" s="16"/>
      <c r="T28" s="16"/>
      <c r="U28" s="16"/>
      <c r="V28" s="16"/>
      <c r="W28" s="6"/>
      <c r="X28" s="6"/>
      <c r="Y28" s="6"/>
      <c r="Z28" s="6"/>
    </row>
    <row r="29" spans="1:26" ht="20.25" customHeight="1">
      <c r="A29" s="16"/>
      <c r="B29" s="48">
        <v>21</v>
      </c>
      <c r="C29" s="80"/>
      <c r="D29" s="80"/>
      <c r="E29" s="80"/>
      <c r="F29" s="80"/>
      <c r="G29" s="81"/>
      <c r="H29" s="86">
        <f t="shared" si="0"/>
        <v>0</v>
      </c>
      <c r="I29" s="80"/>
      <c r="J29" s="80"/>
      <c r="K29" s="16"/>
      <c r="L29" s="16"/>
      <c r="M29" s="16"/>
      <c r="N29" s="16"/>
      <c r="O29" s="16"/>
      <c r="P29" s="16"/>
      <c r="Q29" s="16"/>
      <c r="R29" s="16"/>
      <c r="S29" s="16"/>
      <c r="T29" s="16"/>
      <c r="U29" s="16"/>
      <c r="V29" s="16"/>
      <c r="W29" s="6"/>
      <c r="X29" s="6"/>
      <c r="Y29" s="6"/>
      <c r="Z29" s="6"/>
    </row>
    <row r="30" spans="1:26" ht="20.25" customHeight="1">
      <c r="A30" s="16"/>
      <c r="B30" s="48">
        <v>22</v>
      </c>
      <c r="C30" s="80"/>
      <c r="D30" s="80"/>
      <c r="E30" s="80"/>
      <c r="F30" s="80"/>
      <c r="G30" s="81"/>
      <c r="H30" s="86">
        <f t="shared" si="0"/>
        <v>0</v>
      </c>
      <c r="I30" s="80"/>
      <c r="J30" s="80"/>
      <c r="K30" s="16"/>
      <c r="L30" s="47"/>
      <c r="M30" s="47"/>
      <c r="N30" s="47"/>
      <c r="O30" s="16"/>
      <c r="P30" s="16"/>
      <c r="Q30" s="16"/>
      <c r="R30" s="16"/>
      <c r="S30" s="16"/>
      <c r="T30" s="16"/>
      <c r="U30" s="16"/>
      <c r="V30" s="16"/>
      <c r="W30" s="6"/>
      <c r="X30" s="6"/>
      <c r="Y30" s="6"/>
      <c r="Z30" s="6"/>
    </row>
    <row r="31" spans="1:26" ht="20.25" customHeight="1">
      <c r="A31" s="16"/>
      <c r="B31" s="48">
        <v>23</v>
      </c>
      <c r="C31" s="80"/>
      <c r="D31" s="80"/>
      <c r="E31" s="80"/>
      <c r="F31" s="80"/>
      <c r="G31" s="81"/>
      <c r="H31" s="86">
        <f t="shared" si="0"/>
        <v>0</v>
      </c>
      <c r="I31" s="80"/>
      <c r="J31" s="80"/>
      <c r="K31" s="16"/>
      <c r="L31" s="47"/>
      <c r="M31" s="47"/>
      <c r="N31" s="47"/>
      <c r="O31" s="16"/>
      <c r="P31" s="16"/>
      <c r="Q31" s="16"/>
      <c r="R31" s="16"/>
      <c r="S31" s="16"/>
      <c r="T31" s="16"/>
      <c r="U31" s="16"/>
      <c r="V31" s="16"/>
      <c r="W31" s="6"/>
      <c r="X31" s="6"/>
      <c r="Y31" s="6"/>
      <c r="Z31" s="6"/>
    </row>
    <row r="32" spans="1:26" ht="20.25" customHeight="1">
      <c r="A32" s="16"/>
      <c r="B32" s="48">
        <v>24</v>
      </c>
      <c r="C32" s="80"/>
      <c r="D32" s="80"/>
      <c r="E32" s="80"/>
      <c r="F32" s="80"/>
      <c r="G32" s="81"/>
      <c r="H32" s="86">
        <f t="shared" si="0"/>
        <v>0</v>
      </c>
      <c r="I32" s="80"/>
      <c r="J32" s="80"/>
      <c r="K32" s="16"/>
      <c r="L32" s="47"/>
      <c r="M32" s="47"/>
      <c r="N32" s="47"/>
      <c r="O32" s="16"/>
      <c r="P32" s="16"/>
      <c r="Q32" s="16"/>
      <c r="R32" s="16"/>
      <c r="S32" s="16"/>
      <c r="T32" s="16"/>
      <c r="U32" s="16"/>
      <c r="V32" s="16"/>
      <c r="W32" s="6"/>
      <c r="X32" s="6"/>
      <c r="Y32" s="6"/>
      <c r="Z32" s="6"/>
    </row>
    <row r="33" spans="1:26" ht="20.25" customHeight="1">
      <c r="A33" s="16"/>
      <c r="B33" s="48">
        <v>25</v>
      </c>
      <c r="C33" s="80"/>
      <c r="D33" s="80"/>
      <c r="E33" s="80"/>
      <c r="F33" s="80"/>
      <c r="G33" s="81"/>
      <c r="H33" s="86">
        <f t="shared" si="0"/>
        <v>0</v>
      </c>
      <c r="I33" s="80"/>
      <c r="J33" s="80"/>
      <c r="K33" s="16"/>
      <c r="L33" s="47"/>
      <c r="M33" s="47"/>
      <c r="N33" s="47"/>
      <c r="O33" s="16"/>
      <c r="P33" s="16"/>
      <c r="Q33" s="16"/>
      <c r="R33" s="16"/>
      <c r="S33" s="16"/>
      <c r="T33" s="16"/>
      <c r="U33" s="16"/>
      <c r="V33" s="16"/>
      <c r="W33" s="6"/>
      <c r="X33" s="6"/>
      <c r="Y33" s="6"/>
      <c r="Z33" s="6"/>
    </row>
    <row r="34" spans="1:26" ht="23.25" customHeight="1">
      <c r="A34" s="16"/>
      <c r="B34" s="130" t="s">
        <v>272</v>
      </c>
      <c r="C34" s="101"/>
      <c r="D34" s="101"/>
      <c r="E34" s="101"/>
      <c r="F34" s="101"/>
      <c r="G34" s="102"/>
      <c r="H34" s="50">
        <f>SUM(H9:H33)</f>
        <v>0</v>
      </c>
      <c r="I34" s="131"/>
      <c r="J34" s="102"/>
      <c r="K34" s="16"/>
      <c r="L34" s="47"/>
      <c r="M34" s="47"/>
      <c r="N34" s="47"/>
      <c r="O34" s="16"/>
      <c r="P34" s="16"/>
      <c r="Q34" s="16"/>
      <c r="R34" s="16"/>
      <c r="S34" s="16"/>
      <c r="T34" s="16"/>
      <c r="U34" s="16"/>
      <c r="V34" s="16"/>
      <c r="W34" s="6"/>
      <c r="X34" s="6"/>
      <c r="Y34" s="6"/>
      <c r="Z34" s="6"/>
    </row>
    <row r="35" spans="1:26" ht="21.75" customHeight="1">
      <c r="A35" s="16"/>
      <c r="B35" s="132" t="s">
        <v>273</v>
      </c>
      <c r="C35" s="101"/>
      <c r="D35" s="101"/>
      <c r="E35" s="101"/>
      <c r="F35" s="101"/>
      <c r="G35" s="102"/>
      <c r="H35" s="51">
        <f>H34/12</f>
        <v>0</v>
      </c>
      <c r="I35" s="16"/>
      <c r="J35" s="16"/>
      <c r="K35" s="16"/>
      <c r="L35" s="47"/>
      <c r="M35" s="47"/>
      <c r="N35" s="47"/>
      <c r="O35" s="16"/>
      <c r="P35" s="16"/>
      <c r="Q35" s="16"/>
      <c r="R35" s="16"/>
      <c r="S35" s="16"/>
      <c r="T35" s="16"/>
      <c r="U35" s="16"/>
      <c r="V35" s="16"/>
      <c r="W35" s="6"/>
      <c r="X35" s="6"/>
      <c r="Y35" s="6"/>
      <c r="Z35" s="6"/>
    </row>
    <row r="36" spans="1:26" ht="13.5" customHeight="1">
      <c r="A36" s="16"/>
      <c r="B36" s="16"/>
      <c r="C36" s="16"/>
      <c r="D36" s="16"/>
      <c r="E36" s="16"/>
      <c r="F36" s="16"/>
      <c r="G36" s="16"/>
      <c r="H36" s="16"/>
      <c r="I36" s="16"/>
      <c r="J36" s="16"/>
      <c r="K36" s="16"/>
      <c r="L36" s="47"/>
      <c r="M36" s="47"/>
      <c r="N36" s="47"/>
      <c r="O36" s="16"/>
      <c r="P36" s="16"/>
      <c r="Q36" s="16"/>
      <c r="R36" s="16"/>
      <c r="S36" s="16"/>
      <c r="T36" s="16"/>
      <c r="U36" s="16"/>
      <c r="V36" s="16"/>
      <c r="W36" s="6"/>
      <c r="X36" s="6"/>
      <c r="Y36" s="6"/>
      <c r="Z36" s="6"/>
    </row>
    <row r="37" spans="1:26" ht="13.5" customHeight="1">
      <c r="A37" s="16"/>
      <c r="B37" s="16"/>
      <c r="C37" s="16"/>
      <c r="D37" s="16"/>
      <c r="E37" s="16"/>
      <c r="F37" s="16"/>
      <c r="G37" s="16"/>
      <c r="H37" s="16"/>
      <c r="I37" s="16"/>
      <c r="J37" s="16"/>
      <c r="K37" s="16"/>
      <c r="L37" s="47"/>
      <c r="M37" s="47"/>
      <c r="N37" s="47"/>
      <c r="O37" s="16"/>
      <c r="P37" s="16"/>
      <c r="Q37" s="16"/>
      <c r="R37" s="16"/>
      <c r="S37" s="16"/>
      <c r="T37" s="16"/>
      <c r="U37" s="16"/>
      <c r="V37" s="16"/>
      <c r="W37" s="6"/>
      <c r="X37" s="6"/>
      <c r="Y37" s="6"/>
      <c r="Z37" s="6"/>
    </row>
    <row r="38" spans="1:26" ht="13.5" customHeight="1">
      <c r="A38" s="16"/>
      <c r="B38" s="16"/>
      <c r="C38" s="16"/>
      <c r="D38" s="16"/>
      <c r="E38" s="16"/>
      <c r="F38" s="16"/>
      <c r="G38" s="16"/>
      <c r="H38" s="16"/>
      <c r="I38" s="16"/>
      <c r="J38" s="16"/>
      <c r="K38" s="16"/>
      <c r="L38" s="16"/>
      <c r="M38" s="16"/>
      <c r="N38" s="16"/>
      <c r="O38" s="16"/>
      <c r="P38" s="16"/>
      <c r="Q38" s="16"/>
      <c r="R38" s="16"/>
      <c r="S38" s="16"/>
      <c r="T38" s="16"/>
      <c r="U38" s="16"/>
      <c r="V38" s="16"/>
      <c r="W38" s="6"/>
      <c r="X38" s="6"/>
      <c r="Y38" s="6"/>
      <c r="Z38" s="6"/>
    </row>
    <row r="39" spans="1:26" ht="13.5" customHeight="1">
      <c r="A39" s="16"/>
      <c r="B39" s="16"/>
      <c r="C39" s="16" t="s">
        <v>146</v>
      </c>
      <c r="D39" s="52" t="s">
        <v>192</v>
      </c>
      <c r="E39" s="16"/>
      <c r="F39" s="16"/>
      <c r="G39" s="16"/>
      <c r="H39" s="16"/>
      <c r="I39" s="16"/>
      <c r="J39" s="16"/>
      <c r="K39" s="16"/>
      <c r="L39" s="16"/>
      <c r="M39" s="16"/>
      <c r="N39" s="16"/>
      <c r="O39" s="16"/>
      <c r="P39" s="16"/>
      <c r="Q39" s="16"/>
      <c r="R39" s="16"/>
      <c r="S39" s="16"/>
      <c r="T39" s="16"/>
      <c r="U39" s="16"/>
      <c r="V39" s="16"/>
      <c r="W39" s="6"/>
      <c r="X39" s="6"/>
      <c r="Y39" s="6"/>
      <c r="Z39" s="6"/>
    </row>
    <row r="40" spans="1:26" ht="13.5" customHeight="1">
      <c r="A40" s="16"/>
      <c r="B40" s="16"/>
      <c r="C40" s="16" t="s">
        <v>188</v>
      </c>
      <c r="D40" s="16">
        <f t="shared" ref="D40:D47" si="1">SUMIFS($H$9:$H$33,$D$9:$D$33,C40)/12</f>
        <v>0</v>
      </c>
      <c r="E40" s="16"/>
      <c r="F40" s="16"/>
      <c r="G40" s="16"/>
      <c r="H40" s="16"/>
      <c r="I40" s="16"/>
      <c r="J40" s="16"/>
      <c r="K40" s="16"/>
      <c r="L40" s="16"/>
      <c r="M40" s="16"/>
      <c r="N40" s="16"/>
      <c r="O40" s="16"/>
      <c r="P40" s="16"/>
      <c r="Q40" s="16"/>
      <c r="R40" s="16"/>
      <c r="S40" s="16"/>
      <c r="T40" s="16"/>
      <c r="U40" s="16"/>
      <c r="V40" s="16"/>
      <c r="W40" s="6"/>
      <c r="X40" s="6"/>
      <c r="Y40" s="6"/>
      <c r="Z40" s="6"/>
    </row>
    <row r="41" spans="1:26" ht="13.5" customHeight="1">
      <c r="A41" s="16"/>
      <c r="B41" s="16"/>
      <c r="C41" s="16" t="s">
        <v>190</v>
      </c>
      <c r="D41" s="16">
        <f t="shared" si="1"/>
        <v>0</v>
      </c>
      <c r="E41" s="16"/>
      <c r="F41" s="16"/>
      <c r="G41" s="16"/>
      <c r="H41" s="16"/>
      <c r="I41" s="16"/>
      <c r="J41" s="16"/>
      <c r="K41" s="16"/>
      <c r="L41" s="16"/>
      <c r="M41" s="16"/>
      <c r="N41" s="16"/>
      <c r="O41" s="16"/>
      <c r="P41" s="16"/>
      <c r="Q41" s="16"/>
      <c r="R41" s="16"/>
      <c r="S41" s="16"/>
      <c r="T41" s="16"/>
      <c r="U41" s="16"/>
      <c r="V41" s="16"/>
      <c r="W41" s="6"/>
      <c r="X41" s="6"/>
      <c r="Y41" s="6"/>
      <c r="Z41" s="6"/>
    </row>
    <row r="42" spans="1:26" ht="13.5" customHeight="1">
      <c r="A42" s="16"/>
      <c r="B42" s="16"/>
      <c r="C42" s="16" t="s">
        <v>21</v>
      </c>
      <c r="D42" s="16">
        <f t="shared" si="1"/>
        <v>0</v>
      </c>
      <c r="E42" s="16"/>
      <c r="F42" s="16"/>
      <c r="G42" s="16"/>
      <c r="H42" s="16"/>
      <c r="I42" s="16"/>
      <c r="J42" s="16"/>
      <c r="K42" s="16"/>
      <c r="L42" s="16"/>
      <c r="M42" s="16"/>
      <c r="N42" s="16"/>
      <c r="O42" s="16"/>
      <c r="P42" s="16"/>
      <c r="Q42" s="16"/>
      <c r="R42" s="16"/>
      <c r="S42" s="16"/>
      <c r="T42" s="16"/>
      <c r="U42" s="16"/>
      <c r="V42" s="16"/>
      <c r="W42" s="6"/>
      <c r="X42" s="6"/>
      <c r="Y42" s="6"/>
      <c r="Z42" s="6"/>
    </row>
    <row r="43" spans="1:26" ht="13.5" customHeight="1">
      <c r="A43" s="16"/>
      <c r="B43" s="16"/>
      <c r="C43" s="16" t="s">
        <v>58</v>
      </c>
      <c r="D43" s="16">
        <f t="shared" si="1"/>
        <v>0</v>
      </c>
      <c r="E43" s="16"/>
      <c r="F43" s="16"/>
      <c r="G43" s="16"/>
      <c r="H43" s="16"/>
      <c r="I43" s="16"/>
      <c r="J43" s="16"/>
      <c r="K43" s="16"/>
      <c r="L43" s="16"/>
      <c r="M43" s="16"/>
      <c r="N43" s="16"/>
      <c r="O43" s="16"/>
      <c r="P43" s="16"/>
      <c r="Q43" s="16"/>
      <c r="R43" s="16"/>
      <c r="S43" s="16"/>
      <c r="T43" s="16"/>
      <c r="U43" s="16"/>
      <c r="V43" s="16"/>
      <c r="W43" s="6"/>
      <c r="X43" s="6"/>
      <c r="Y43" s="6"/>
      <c r="Z43" s="6"/>
    </row>
    <row r="44" spans="1:26" ht="13.5" customHeight="1">
      <c r="A44" s="16"/>
      <c r="B44" s="16"/>
      <c r="C44" s="16" t="s">
        <v>148</v>
      </c>
      <c r="D44" s="16">
        <f t="shared" si="1"/>
        <v>0</v>
      </c>
      <c r="E44" s="16"/>
      <c r="F44" s="16"/>
      <c r="G44" s="16"/>
      <c r="H44" s="16"/>
      <c r="I44" s="16"/>
      <c r="J44" s="16"/>
      <c r="K44" s="16"/>
      <c r="L44" s="16"/>
      <c r="M44" s="16"/>
      <c r="N44" s="16"/>
      <c r="O44" s="16"/>
      <c r="P44" s="16"/>
      <c r="Q44" s="16"/>
      <c r="R44" s="16"/>
      <c r="S44" s="16"/>
      <c r="T44" s="16"/>
      <c r="U44" s="16"/>
      <c r="V44" s="16"/>
      <c r="W44" s="6"/>
      <c r="X44" s="6"/>
      <c r="Y44" s="6"/>
      <c r="Z44" s="6"/>
    </row>
    <row r="45" spans="1:26" ht="13.5" customHeight="1">
      <c r="A45" s="16"/>
      <c r="B45" s="16"/>
      <c r="C45" s="16" t="s">
        <v>47</v>
      </c>
      <c r="D45" s="16">
        <f t="shared" si="1"/>
        <v>0</v>
      </c>
      <c r="E45" s="16"/>
      <c r="F45" s="16"/>
      <c r="G45" s="16"/>
      <c r="H45" s="16"/>
      <c r="I45" s="16"/>
      <c r="J45" s="16"/>
      <c r="K45" s="16"/>
      <c r="L45" s="16"/>
      <c r="M45" s="16"/>
      <c r="N45" s="16"/>
      <c r="O45" s="16"/>
      <c r="P45" s="16"/>
      <c r="Q45" s="16"/>
      <c r="R45" s="16"/>
      <c r="S45" s="16"/>
      <c r="T45" s="16"/>
      <c r="U45" s="16"/>
      <c r="V45" s="16"/>
      <c r="W45" s="6"/>
      <c r="X45" s="6"/>
      <c r="Y45" s="6"/>
      <c r="Z45" s="6"/>
    </row>
    <row r="46" spans="1:26" ht="13.5" customHeight="1">
      <c r="A46" s="16"/>
      <c r="B46" s="16"/>
      <c r="C46" s="16" t="s">
        <v>147</v>
      </c>
      <c r="D46" s="16">
        <f t="shared" si="1"/>
        <v>0</v>
      </c>
      <c r="E46" s="16"/>
      <c r="F46" s="16"/>
      <c r="G46" s="16"/>
      <c r="H46" s="16"/>
      <c r="I46" s="16"/>
      <c r="J46" s="16"/>
      <c r="K46" s="16"/>
      <c r="L46" s="16"/>
      <c r="M46" s="16"/>
      <c r="N46" s="16"/>
      <c r="O46" s="16"/>
      <c r="P46" s="16"/>
      <c r="Q46" s="16"/>
      <c r="R46" s="16"/>
      <c r="S46" s="16"/>
      <c r="T46" s="16"/>
      <c r="U46" s="16"/>
      <c r="V46" s="16"/>
      <c r="W46" s="6"/>
      <c r="X46" s="6"/>
      <c r="Y46" s="6"/>
      <c r="Z46" s="6"/>
    </row>
    <row r="47" spans="1:26" ht="13.5" customHeight="1">
      <c r="A47" s="16"/>
      <c r="B47" s="16"/>
      <c r="C47" s="16" t="s">
        <v>62</v>
      </c>
      <c r="D47" s="16">
        <f t="shared" si="1"/>
        <v>0</v>
      </c>
      <c r="E47" s="16"/>
      <c r="F47" s="16"/>
      <c r="G47" s="16"/>
      <c r="H47" s="16"/>
      <c r="I47" s="16"/>
      <c r="J47" s="16"/>
      <c r="K47" s="16"/>
      <c r="L47" s="16"/>
      <c r="M47" s="16"/>
      <c r="N47" s="16"/>
      <c r="O47" s="16"/>
      <c r="P47" s="16"/>
      <c r="Q47" s="16"/>
      <c r="R47" s="16"/>
      <c r="S47" s="16"/>
      <c r="T47" s="16"/>
      <c r="U47" s="16"/>
      <c r="V47" s="16"/>
      <c r="W47" s="6"/>
      <c r="X47" s="6"/>
      <c r="Y47" s="6"/>
      <c r="Z47" s="6"/>
    </row>
    <row r="48" spans="1:26" ht="13.5" customHeight="1">
      <c r="A48" s="16"/>
      <c r="B48" s="16"/>
      <c r="C48" s="16"/>
      <c r="D48" s="16"/>
      <c r="E48" s="16"/>
      <c r="F48" s="16"/>
      <c r="G48" s="16"/>
      <c r="H48" s="16"/>
      <c r="I48" s="16"/>
      <c r="J48" s="16"/>
      <c r="K48" s="16"/>
      <c r="L48" s="16"/>
      <c r="M48" s="16"/>
      <c r="N48" s="16"/>
      <c r="O48" s="16"/>
      <c r="P48" s="16"/>
      <c r="Q48" s="16"/>
      <c r="R48" s="16"/>
      <c r="S48" s="16"/>
      <c r="T48" s="16"/>
      <c r="U48" s="16"/>
      <c r="V48" s="16"/>
      <c r="W48" s="6"/>
      <c r="X48" s="6"/>
      <c r="Y48" s="6"/>
      <c r="Z48" s="6"/>
    </row>
    <row r="49" spans="1:26" ht="13.5" customHeight="1">
      <c r="A49" s="16"/>
      <c r="B49" s="16"/>
      <c r="C49" s="53" t="s">
        <v>193</v>
      </c>
      <c r="D49" s="16"/>
      <c r="E49" s="16"/>
      <c r="F49" s="16"/>
      <c r="G49" s="16"/>
      <c r="H49" s="16"/>
      <c r="I49" s="16"/>
      <c r="J49" s="16"/>
      <c r="K49" s="16"/>
      <c r="L49" s="16"/>
      <c r="M49" s="16"/>
      <c r="N49" s="16"/>
      <c r="O49" s="16"/>
      <c r="P49" s="16"/>
      <c r="Q49" s="16"/>
      <c r="R49" s="16"/>
      <c r="S49" s="16"/>
      <c r="T49" s="16"/>
      <c r="U49" s="16"/>
      <c r="V49" s="16"/>
      <c r="W49" s="6"/>
      <c r="X49" s="6"/>
      <c r="Y49" s="6"/>
      <c r="Z49" s="6"/>
    </row>
    <row r="50" spans="1:26" ht="13.5" customHeight="1">
      <c r="A50" s="16"/>
      <c r="B50" s="16"/>
      <c r="C50" s="54" t="s">
        <v>189</v>
      </c>
      <c r="D50" s="54">
        <v>12</v>
      </c>
      <c r="E50" s="16"/>
      <c r="F50" s="16"/>
      <c r="G50" s="16"/>
      <c r="H50" s="16"/>
      <c r="I50" s="16"/>
      <c r="J50" s="16"/>
      <c r="K50" s="16"/>
      <c r="L50" s="16"/>
      <c r="M50" s="16"/>
      <c r="N50" s="16"/>
      <c r="O50" s="16"/>
      <c r="P50" s="16"/>
      <c r="Q50" s="16"/>
      <c r="R50" s="16"/>
      <c r="S50" s="16"/>
      <c r="T50" s="16"/>
      <c r="U50" s="16"/>
      <c r="V50" s="16"/>
      <c r="W50" s="6"/>
      <c r="X50" s="6"/>
      <c r="Y50" s="6"/>
      <c r="Z50" s="6"/>
    </row>
    <row r="51" spans="1:26" ht="13.5" customHeight="1">
      <c r="A51" s="16"/>
      <c r="B51" s="16"/>
      <c r="C51" s="54" t="s">
        <v>194</v>
      </c>
      <c r="D51" s="54">
        <v>6</v>
      </c>
      <c r="E51" s="16"/>
      <c r="F51" s="16"/>
      <c r="G51" s="16"/>
      <c r="H51" s="16"/>
      <c r="I51" s="16"/>
      <c r="J51" s="16"/>
      <c r="K51" s="16"/>
      <c r="L51" s="16"/>
      <c r="M51" s="16"/>
      <c r="N51" s="16"/>
      <c r="O51" s="16"/>
      <c r="P51" s="16"/>
      <c r="Q51" s="16"/>
      <c r="R51" s="16"/>
      <c r="S51" s="16"/>
      <c r="T51" s="16"/>
      <c r="U51" s="16"/>
      <c r="V51" s="16"/>
      <c r="W51" s="6"/>
      <c r="X51" s="6"/>
      <c r="Y51" s="6"/>
      <c r="Z51" s="6"/>
    </row>
    <row r="52" spans="1:26" ht="13.5" customHeight="1">
      <c r="A52" s="16"/>
      <c r="B52" s="16"/>
      <c r="C52" s="54" t="s">
        <v>191</v>
      </c>
      <c r="D52" s="54">
        <v>4</v>
      </c>
      <c r="E52" s="16"/>
      <c r="F52" s="16"/>
      <c r="G52" s="16"/>
      <c r="H52" s="16"/>
      <c r="I52" s="16"/>
      <c r="J52" s="16"/>
      <c r="K52" s="16"/>
      <c r="L52" s="16"/>
      <c r="M52" s="16"/>
      <c r="N52" s="16"/>
      <c r="O52" s="16"/>
      <c r="P52" s="16"/>
      <c r="Q52" s="16"/>
      <c r="R52" s="16"/>
      <c r="S52" s="16"/>
      <c r="T52" s="16"/>
      <c r="U52" s="16"/>
      <c r="V52" s="16"/>
      <c r="W52" s="6"/>
      <c r="X52" s="6"/>
      <c r="Y52" s="6"/>
      <c r="Z52" s="6"/>
    </row>
    <row r="53" spans="1:26" ht="13.5" customHeight="1">
      <c r="A53" s="16"/>
      <c r="B53" s="16"/>
      <c r="C53" s="54" t="s">
        <v>195</v>
      </c>
      <c r="D53" s="54">
        <v>3</v>
      </c>
      <c r="E53" s="16"/>
      <c r="F53" s="16"/>
      <c r="G53" s="16"/>
      <c r="H53" s="16"/>
      <c r="I53" s="16"/>
      <c r="J53" s="16"/>
      <c r="K53" s="16"/>
      <c r="L53" s="16"/>
      <c r="M53" s="16"/>
      <c r="N53" s="16"/>
      <c r="O53" s="16"/>
      <c r="P53" s="16"/>
      <c r="Q53" s="16"/>
      <c r="R53" s="16"/>
      <c r="S53" s="16"/>
      <c r="T53" s="16"/>
      <c r="U53" s="16"/>
      <c r="V53" s="16"/>
      <c r="W53" s="6"/>
      <c r="X53" s="6"/>
      <c r="Y53" s="6"/>
      <c r="Z53" s="6"/>
    </row>
    <row r="54" spans="1:26" ht="13.5" customHeight="1">
      <c r="A54" s="16"/>
      <c r="B54" s="16"/>
      <c r="C54" s="54" t="s">
        <v>196</v>
      </c>
      <c r="D54" s="54">
        <v>2</v>
      </c>
      <c r="E54" s="16"/>
      <c r="F54" s="16"/>
      <c r="G54" s="16"/>
      <c r="H54" s="16"/>
      <c r="I54" s="16"/>
      <c r="J54" s="16"/>
      <c r="K54" s="16"/>
      <c r="L54" s="16"/>
      <c r="M54" s="16"/>
      <c r="N54" s="16"/>
      <c r="O54" s="16"/>
      <c r="P54" s="16"/>
      <c r="Q54" s="16"/>
      <c r="R54" s="16"/>
      <c r="S54" s="16"/>
      <c r="T54" s="16"/>
      <c r="U54" s="16"/>
      <c r="V54" s="16"/>
      <c r="W54" s="6"/>
      <c r="X54" s="6"/>
      <c r="Y54" s="6"/>
      <c r="Z54" s="6"/>
    </row>
    <row r="55" spans="1:26" ht="13.5" customHeight="1">
      <c r="A55" s="16"/>
      <c r="B55" s="16"/>
      <c r="C55" s="54" t="s">
        <v>197</v>
      </c>
      <c r="D55" s="54">
        <v>1</v>
      </c>
      <c r="E55" s="16"/>
      <c r="F55" s="16"/>
      <c r="G55" s="16"/>
      <c r="H55" s="16"/>
      <c r="I55" s="16"/>
      <c r="J55" s="16"/>
      <c r="K55" s="16"/>
      <c r="L55" s="16"/>
      <c r="M55" s="16"/>
      <c r="N55" s="16"/>
      <c r="O55" s="16"/>
      <c r="P55" s="16"/>
      <c r="Q55" s="16"/>
      <c r="R55" s="16"/>
      <c r="S55" s="16"/>
      <c r="T55" s="16"/>
      <c r="U55" s="16"/>
      <c r="V55" s="16"/>
      <c r="W55" s="6"/>
      <c r="X55" s="6"/>
      <c r="Y55" s="6"/>
      <c r="Z55" s="6"/>
    </row>
    <row r="56" spans="1:26" ht="13.5" customHeight="1">
      <c r="A56" s="16"/>
      <c r="B56" s="16"/>
      <c r="C56" s="54" t="s">
        <v>198</v>
      </c>
      <c r="D56" s="54">
        <v>1</v>
      </c>
      <c r="E56" s="16"/>
      <c r="F56" s="16"/>
      <c r="G56" s="16"/>
      <c r="H56" s="16"/>
      <c r="I56" s="16"/>
      <c r="J56" s="16"/>
      <c r="K56" s="16"/>
      <c r="L56" s="16"/>
      <c r="M56" s="16"/>
      <c r="N56" s="16"/>
      <c r="O56" s="16"/>
      <c r="P56" s="16"/>
      <c r="Q56" s="16"/>
      <c r="R56" s="16"/>
      <c r="S56" s="16"/>
      <c r="T56" s="16"/>
      <c r="U56" s="16"/>
      <c r="V56" s="16"/>
      <c r="W56" s="6"/>
      <c r="X56" s="6"/>
      <c r="Y56" s="6"/>
      <c r="Z56" s="6"/>
    </row>
    <row r="57" spans="1:26" ht="13.5" customHeight="1">
      <c r="A57" s="16"/>
      <c r="B57" s="16"/>
      <c r="C57" s="16"/>
      <c r="D57" s="16"/>
      <c r="E57" s="16"/>
      <c r="F57" s="16"/>
      <c r="G57" s="16"/>
      <c r="H57" s="16"/>
      <c r="I57" s="16"/>
      <c r="J57" s="16"/>
      <c r="K57" s="16"/>
      <c r="L57" s="16"/>
      <c r="M57" s="16"/>
      <c r="N57" s="16"/>
      <c r="O57" s="16"/>
      <c r="P57" s="16"/>
      <c r="Q57" s="16"/>
      <c r="R57" s="16"/>
      <c r="S57" s="16"/>
      <c r="T57" s="16"/>
      <c r="U57" s="16"/>
      <c r="V57" s="16"/>
      <c r="W57" s="6"/>
      <c r="X57" s="6"/>
      <c r="Y57" s="6"/>
      <c r="Z57" s="6"/>
    </row>
    <row r="58" spans="1:26" ht="13.5" customHeight="1">
      <c r="A58" s="16"/>
      <c r="B58" s="16"/>
      <c r="C58" s="16"/>
      <c r="D58" s="16"/>
      <c r="E58" s="16"/>
      <c r="F58" s="16"/>
      <c r="G58" s="16"/>
      <c r="H58" s="16"/>
      <c r="I58" s="16"/>
      <c r="J58" s="16"/>
      <c r="K58" s="16"/>
      <c r="L58" s="16"/>
      <c r="M58" s="16"/>
      <c r="N58" s="16"/>
      <c r="O58" s="16"/>
      <c r="P58" s="16"/>
      <c r="Q58" s="16"/>
      <c r="R58" s="16"/>
      <c r="S58" s="16"/>
      <c r="T58" s="16"/>
      <c r="U58" s="16"/>
      <c r="V58" s="16"/>
      <c r="W58" s="6"/>
      <c r="X58" s="6"/>
      <c r="Y58" s="6"/>
      <c r="Z58" s="6"/>
    </row>
    <row r="59" spans="1:26" ht="13.5" customHeight="1">
      <c r="A59" s="16"/>
      <c r="B59" s="16"/>
      <c r="C59" s="16"/>
      <c r="D59" s="16"/>
      <c r="E59" s="16"/>
      <c r="F59" s="16"/>
      <c r="G59" s="16"/>
      <c r="H59" s="16"/>
      <c r="I59" s="16"/>
      <c r="J59" s="16"/>
      <c r="K59" s="16"/>
      <c r="L59" s="16"/>
      <c r="M59" s="16"/>
      <c r="N59" s="16"/>
      <c r="O59" s="16"/>
      <c r="P59" s="16"/>
      <c r="Q59" s="16"/>
      <c r="R59" s="16"/>
      <c r="S59" s="16"/>
      <c r="T59" s="16"/>
      <c r="U59" s="16"/>
      <c r="V59" s="16"/>
      <c r="W59" s="6"/>
      <c r="X59" s="6"/>
      <c r="Y59" s="6"/>
      <c r="Z59" s="6"/>
    </row>
    <row r="60" spans="1:26" ht="13.5" customHeight="1">
      <c r="A60" s="16"/>
      <c r="B60" s="16"/>
      <c r="C60" s="16"/>
      <c r="D60" s="16"/>
      <c r="E60" s="16"/>
      <c r="F60" s="16"/>
      <c r="G60" s="16"/>
      <c r="H60" s="16"/>
      <c r="I60" s="16"/>
      <c r="J60" s="16"/>
      <c r="K60" s="16"/>
      <c r="L60" s="16"/>
      <c r="M60" s="16"/>
      <c r="N60" s="16"/>
      <c r="O60" s="16"/>
      <c r="P60" s="16"/>
      <c r="Q60" s="16"/>
      <c r="R60" s="16"/>
      <c r="S60" s="16"/>
      <c r="T60" s="16"/>
      <c r="U60" s="16"/>
      <c r="V60" s="16"/>
      <c r="W60" s="6"/>
      <c r="X60" s="6"/>
      <c r="Y60" s="6"/>
      <c r="Z60" s="6"/>
    </row>
    <row r="61" spans="1:26" ht="13.5" customHeight="1">
      <c r="A61" s="16"/>
      <c r="B61" s="16"/>
      <c r="C61" s="16"/>
      <c r="D61" s="16"/>
      <c r="E61" s="16"/>
      <c r="F61" s="16"/>
      <c r="G61" s="16"/>
      <c r="H61" s="16"/>
      <c r="I61" s="16"/>
      <c r="J61" s="16"/>
      <c r="K61" s="16"/>
      <c r="L61" s="16"/>
      <c r="M61" s="16"/>
      <c r="N61" s="16"/>
      <c r="O61" s="16"/>
      <c r="P61" s="16"/>
      <c r="Q61" s="16"/>
      <c r="R61" s="16"/>
      <c r="S61" s="16"/>
      <c r="T61" s="16"/>
      <c r="U61" s="16"/>
      <c r="V61" s="16"/>
      <c r="W61" s="6"/>
      <c r="X61" s="6"/>
      <c r="Y61" s="6"/>
      <c r="Z61" s="6"/>
    </row>
    <row r="62" spans="1:26" ht="13.5" customHeight="1">
      <c r="A62" s="16"/>
      <c r="B62" s="16"/>
      <c r="C62" s="16"/>
      <c r="D62" s="16"/>
      <c r="E62" s="16"/>
      <c r="F62" s="16"/>
      <c r="G62" s="16"/>
      <c r="H62" s="16"/>
      <c r="I62" s="16"/>
      <c r="J62" s="16"/>
      <c r="K62" s="16"/>
      <c r="L62" s="16"/>
      <c r="M62" s="16"/>
      <c r="N62" s="16"/>
      <c r="O62" s="16"/>
      <c r="P62" s="16"/>
      <c r="Q62" s="16"/>
      <c r="R62" s="16"/>
      <c r="S62" s="16"/>
      <c r="T62" s="16"/>
      <c r="U62" s="16"/>
      <c r="V62" s="16"/>
      <c r="W62" s="6"/>
      <c r="X62" s="6"/>
      <c r="Y62" s="6"/>
      <c r="Z62" s="6"/>
    </row>
    <row r="63" spans="1:26" ht="13.5" customHeight="1">
      <c r="A63" s="16"/>
      <c r="B63" s="16"/>
      <c r="C63" s="16"/>
      <c r="D63" s="16"/>
      <c r="E63" s="16"/>
      <c r="F63" s="16"/>
      <c r="G63" s="16"/>
      <c r="H63" s="16"/>
      <c r="I63" s="16"/>
      <c r="J63" s="16"/>
      <c r="K63" s="16"/>
      <c r="L63" s="16"/>
      <c r="M63" s="16"/>
      <c r="N63" s="16"/>
      <c r="O63" s="16"/>
      <c r="P63" s="16"/>
      <c r="Q63" s="16"/>
      <c r="R63" s="16"/>
      <c r="S63" s="16"/>
      <c r="T63" s="16"/>
      <c r="U63" s="16"/>
      <c r="V63" s="16"/>
      <c r="W63" s="6"/>
      <c r="X63" s="6"/>
      <c r="Y63" s="6"/>
      <c r="Z63" s="6"/>
    </row>
    <row r="64" spans="1:26" ht="13.5" customHeight="1">
      <c r="A64" s="16"/>
      <c r="B64" s="16"/>
      <c r="C64" s="16"/>
      <c r="D64" s="16"/>
      <c r="E64" s="16"/>
      <c r="F64" s="16"/>
      <c r="G64" s="16"/>
      <c r="H64" s="16"/>
      <c r="I64" s="16"/>
      <c r="J64" s="16"/>
      <c r="K64" s="16"/>
      <c r="L64" s="16"/>
      <c r="M64" s="16"/>
      <c r="N64" s="16"/>
      <c r="O64" s="16"/>
      <c r="P64" s="16"/>
      <c r="Q64" s="16"/>
      <c r="R64" s="16"/>
      <c r="S64" s="16"/>
      <c r="T64" s="16"/>
      <c r="U64" s="16"/>
      <c r="V64" s="16"/>
      <c r="W64" s="6"/>
      <c r="X64" s="6"/>
      <c r="Y64" s="6"/>
      <c r="Z64" s="6"/>
    </row>
    <row r="65" spans="1:26" ht="13.5" customHeight="1">
      <c r="A65" s="16"/>
      <c r="B65" s="16"/>
      <c r="C65" s="16"/>
      <c r="D65" s="16"/>
      <c r="E65" s="16"/>
      <c r="F65" s="16"/>
      <c r="G65" s="16"/>
      <c r="H65" s="16"/>
      <c r="I65" s="16"/>
      <c r="J65" s="16"/>
      <c r="K65" s="16"/>
      <c r="L65" s="16"/>
      <c r="M65" s="16"/>
      <c r="N65" s="16"/>
      <c r="O65" s="16"/>
      <c r="P65" s="16"/>
      <c r="Q65" s="16"/>
      <c r="R65" s="16"/>
      <c r="S65" s="16"/>
      <c r="T65" s="16"/>
      <c r="U65" s="16"/>
      <c r="V65" s="16"/>
      <c r="W65" s="6"/>
      <c r="X65" s="6"/>
      <c r="Y65" s="6"/>
      <c r="Z65" s="6"/>
    </row>
    <row r="66" spans="1:26" ht="13.5" customHeight="1">
      <c r="A66" s="16"/>
      <c r="B66" s="16"/>
      <c r="C66" s="16"/>
      <c r="D66" s="16"/>
      <c r="E66" s="16"/>
      <c r="F66" s="16"/>
      <c r="G66" s="16"/>
      <c r="H66" s="16"/>
      <c r="I66" s="16"/>
      <c r="J66" s="16"/>
      <c r="K66" s="16"/>
      <c r="L66" s="16"/>
      <c r="M66" s="16"/>
      <c r="N66" s="16"/>
      <c r="O66" s="16"/>
      <c r="P66" s="16"/>
      <c r="Q66" s="16"/>
      <c r="R66" s="16"/>
      <c r="S66" s="16"/>
      <c r="T66" s="16"/>
      <c r="U66" s="16"/>
      <c r="V66" s="16"/>
      <c r="W66" s="6"/>
      <c r="X66" s="6"/>
      <c r="Y66" s="6"/>
      <c r="Z66" s="6"/>
    </row>
    <row r="67" spans="1:26" ht="13.5" customHeight="1">
      <c r="A67" s="16"/>
      <c r="B67" s="16"/>
      <c r="C67" s="16"/>
      <c r="D67" s="16"/>
      <c r="E67" s="16"/>
      <c r="F67" s="16"/>
      <c r="G67" s="16"/>
      <c r="H67" s="16"/>
      <c r="I67" s="16"/>
      <c r="J67" s="16"/>
      <c r="K67" s="16"/>
      <c r="L67" s="16"/>
      <c r="M67" s="16"/>
      <c r="N67" s="16"/>
      <c r="O67" s="16"/>
      <c r="P67" s="16"/>
      <c r="Q67" s="16"/>
      <c r="R67" s="16"/>
      <c r="S67" s="16"/>
      <c r="T67" s="16"/>
      <c r="U67" s="16"/>
      <c r="V67" s="16"/>
      <c r="W67" s="6"/>
      <c r="X67" s="6"/>
      <c r="Y67" s="6"/>
      <c r="Z67" s="6"/>
    </row>
    <row r="68" spans="1:26" ht="13.5" customHeight="1">
      <c r="A68" s="16"/>
      <c r="B68" s="16"/>
      <c r="C68" s="16"/>
      <c r="D68" s="16"/>
      <c r="E68" s="16"/>
      <c r="F68" s="16"/>
      <c r="G68" s="16"/>
      <c r="H68" s="16"/>
      <c r="I68" s="16"/>
      <c r="J68" s="16"/>
      <c r="K68" s="16"/>
      <c r="L68" s="16"/>
      <c r="M68" s="16"/>
      <c r="N68" s="16"/>
      <c r="O68" s="16"/>
      <c r="P68" s="16"/>
      <c r="Q68" s="16"/>
      <c r="R68" s="16"/>
      <c r="S68" s="16"/>
      <c r="T68" s="16"/>
      <c r="U68" s="16"/>
      <c r="V68" s="16"/>
      <c r="W68" s="6"/>
      <c r="X68" s="6"/>
      <c r="Y68" s="6"/>
      <c r="Z68" s="6"/>
    </row>
    <row r="69" spans="1:26" ht="13.5" customHeight="1">
      <c r="A69" s="16"/>
      <c r="B69" s="16"/>
      <c r="C69" s="16"/>
      <c r="D69" s="16"/>
      <c r="E69" s="16"/>
      <c r="F69" s="16"/>
      <c r="G69" s="16"/>
      <c r="H69" s="16"/>
      <c r="I69" s="16"/>
      <c r="J69" s="16"/>
      <c r="K69" s="16"/>
      <c r="L69" s="16"/>
      <c r="M69" s="16"/>
      <c r="N69" s="16"/>
      <c r="O69" s="16"/>
      <c r="P69" s="16"/>
      <c r="Q69" s="16"/>
      <c r="R69" s="16"/>
      <c r="S69" s="16"/>
      <c r="T69" s="16"/>
      <c r="U69" s="16"/>
      <c r="V69" s="16"/>
      <c r="W69" s="6"/>
      <c r="X69" s="6"/>
      <c r="Y69" s="6"/>
      <c r="Z69" s="6"/>
    </row>
    <row r="70" spans="1:26" ht="13.5" customHeight="1">
      <c r="A70" s="16"/>
      <c r="B70" s="16"/>
      <c r="C70" s="16"/>
      <c r="D70" s="16"/>
      <c r="E70" s="16"/>
      <c r="F70" s="16"/>
      <c r="G70" s="16"/>
      <c r="H70" s="16"/>
      <c r="I70" s="16"/>
      <c r="J70" s="16"/>
      <c r="K70" s="16"/>
      <c r="L70" s="16"/>
      <c r="M70" s="16"/>
      <c r="N70" s="16"/>
      <c r="O70" s="16"/>
      <c r="P70" s="16"/>
      <c r="Q70" s="16"/>
      <c r="R70" s="16"/>
      <c r="S70" s="16"/>
      <c r="T70" s="16"/>
      <c r="U70" s="16"/>
      <c r="V70" s="16"/>
      <c r="W70" s="6"/>
      <c r="X70" s="6"/>
      <c r="Y70" s="6"/>
      <c r="Z70" s="6"/>
    </row>
    <row r="71" spans="1:26" ht="13.5" customHeight="1">
      <c r="A71" s="16"/>
      <c r="B71" s="16"/>
      <c r="C71" s="16"/>
      <c r="D71" s="16"/>
      <c r="E71" s="16"/>
      <c r="F71" s="16"/>
      <c r="G71" s="16"/>
      <c r="H71" s="16"/>
      <c r="I71" s="16"/>
      <c r="J71" s="16"/>
      <c r="K71" s="16"/>
      <c r="L71" s="16"/>
      <c r="M71" s="16"/>
      <c r="N71" s="16"/>
      <c r="O71" s="16"/>
      <c r="P71" s="16"/>
      <c r="Q71" s="16"/>
      <c r="R71" s="16"/>
      <c r="S71" s="16"/>
      <c r="T71" s="16"/>
      <c r="U71" s="16"/>
      <c r="V71" s="16"/>
      <c r="W71" s="6"/>
      <c r="X71" s="6"/>
      <c r="Y71" s="6"/>
      <c r="Z71" s="6"/>
    </row>
    <row r="72" spans="1:26" ht="13.5" customHeight="1">
      <c r="A72" s="16"/>
      <c r="B72" s="16"/>
      <c r="C72" s="16"/>
      <c r="D72" s="16"/>
      <c r="E72" s="16"/>
      <c r="F72" s="16"/>
      <c r="G72" s="16"/>
      <c r="H72" s="16"/>
      <c r="I72" s="16"/>
      <c r="J72" s="16"/>
      <c r="K72" s="16"/>
      <c r="L72" s="16"/>
      <c r="M72" s="16"/>
      <c r="N72" s="16"/>
      <c r="O72" s="16"/>
      <c r="P72" s="16"/>
      <c r="Q72" s="16"/>
      <c r="R72" s="16"/>
      <c r="S72" s="16"/>
      <c r="T72" s="16"/>
      <c r="U72" s="16"/>
      <c r="V72" s="16"/>
      <c r="W72" s="6"/>
      <c r="X72" s="6"/>
      <c r="Y72" s="6"/>
      <c r="Z72" s="6"/>
    </row>
    <row r="73" spans="1:26" ht="13.5" customHeight="1">
      <c r="A73" s="16"/>
      <c r="B73" s="16"/>
      <c r="C73" s="16"/>
      <c r="D73" s="16"/>
      <c r="E73" s="16"/>
      <c r="F73" s="16"/>
      <c r="G73" s="16"/>
      <c r="H73" s="16"/>
      <c r="I73" s="16"/>
      <c r="J73" s="16"/>
      <c r="K73" s="16"/>
      <c r="L73" s="16"/>
      <c r="M73" s="16"/>
      <c r="N73" s="16"/>
      <c r="O73" s="16"/>
      <c r="P73" s="16"/>
      <c r="Q73" s="16"/>
      <c r="R73" s="16"/>
      <c r="S73" s="16"/>
      <c r="T73" s="16"/>
      <c r="U73" s="16"/>
      <c r="V73" s="16"/>
      <c r="W73" s="6"/>
      <c r="X73" s="6"/>
      <c r="Y73" s="6"/>
      <c r="Z73" s="6"/>
    </row>
    <row r="74" spans="1:26" ht="13.5" customHeight="1">
      <c r="A74" s="16"/>
      <c r="B74" s="16"/>
      <c r="C74" s="16"/>
      <c r="D74" s="16"/>
      <c r="E74" s="16"/>
      <c r="F74" s="16"/>
      <c r="G74" s="16"/>
      <c r="H74" s="16"/>
      <c r="I74" s="16"/>
      <c r="J74" s="16"/>
      <c r="K74" s="16"/>
      <c r="L74" s="16"/>
      <c r="M74" s="16"/>
      <c r="N74" s="16"/>
      <c r="O74" s="16"/>
      <c r="P74" s="16"/>
      <c r="Q74" s="16"/>
      <c r="R74" s="16"/>
      <c r="S74" s="16"/>
      <c r="T74" s="16"/>
      <c r="U74" s="16"/>
      <c r="V74" s="16"/>
      <c r="W74" s="6"/>
      <c r="X74" s="6"/>
      <c r="Y74" s="6"/>
      <c r="Z74" s="6"/>
    </row>
    <row r="75" spans="1:26" ht="13.5" customHeight="1">
      <c r="A75" s="16"/>
      <c r="B75" s="16"/>
      <c r="C75" s="16"/>
      <c r="D75" s="16"/>
      <c r="E75" s="16"/>
      <c r="F75" s="16"/>
      <c r="G75" s="16"/>
      <c r="H75" s="16"/>
      <c r="I75" s="16"/>
      <c r="J75" s="16"/>
      <c r="K75" s="16"/>
      <c r="L75" s="16"/>
      <c r="M75" s="16"/>
      <c r="N75" s="16"/>
      <c r="O75" s="16"/>
      <c r="P75" s="16"/>
      <c r="Q75" s="16"/>
      <c r="R75" s="16"/>
      <c r="S75" s="16"/>
      <c r="T75" s="16"/>
      <c r="U75" s="16"/>
      <c r="V75" s="16"/>
      <c r="W75" s="6"/>
      <c r="X75" s="6"/>
      <c r="Y75" s="6"/>
      <c r="Z75" s="6"/>
    </row>
    <row r="76" spans="1:26" ht="13.5" customHeight="1">
      <c r="A76" s="16"/>
      <c r="B76" s="16"/>
      <c r="C76" s="16"/>
      <c r="D76" s="16"/>
      <c r="E76" s="16"/>
      <c r="F76" s="16"/>
      <c r="G76" s="16"/>
      <c r="H76" s="16"/>
      <c r="I76" s="16"/>
      <c r="J76" s="16"/>
      <c r="K76" s="16"/>
      <c r="L76" s="16"/>
      <c r="M76" s="16"/>
      <c r="N76" s="16"/>
      <c r="O76" s="16"/>
      <c r="P76" s="16"/>
      <c r="Q76" s="16"/>
      <c r="R76" s="16"/>
      <c r="S76" s="16"/>
      <c r="T76" s="16"/>
      <c r="U76" s="16"/>
      <c r="V76" s="16"/>
      <c r="W76" s="6"/>
      <c r="X76" s="6"/>
      <c r="Y76" s="6"/>
      <c r="Z76" s="6"/>
    </row>
    <row r="77" spans="1:26" ht="13.5" customHeight="1">
      <c r="A77" s="16"/>
      <c r="B77" s="16"/>
      <c r="C77" s="16"/>
      <c r="D77" s="16"/>
      <c r="E77" s="16"/>
      <c r="F77" s="16"/>
      <c r="G77" s="16"/>
      <c r="H77" s="16"/>
      <c r="I77" s="16"/>
      <c r="J77" s="16"/>
      <c r="K77" s="16"/>
      <c r="L77" s="16"/>
      <c r="M77" s="16"/>
      <c r="N77" s="16"/>
      <c r="O77" s="16"/>
      <c r="P77" s="16"/>
      <c r="Q77" s="16"/>
      <c r="R77" s="16"/>
      <c r="S77" s="16"/>
      <c r="T77" s="16"/>
      <c r="U77" s="16"/>
      <c r="V77" s="16"/>
      <c r="W77" s="6"/>
      <c r="X77" s="6"/>
      <c r="Y77" s="6"/>
      <c r="Z77" s="6"/>
    </row>
    <row r="78" spans="1:26" ht="13.5" customHeight="1">
      <c r="A78" s="16"/>
      <c r="B78" s="16"/>
      <c r="C78" s="16"/>
      <c r="D78" s="16"/>
      <c r="E78" s="16"/>
      <c r="F78" s="16"/>
      <c r="G78" s="16"/>
      <c r="H78" s="16"/>
      <c r="I78" s="16"/>
      <c r="J78" s="16"/>
      <c r="K78" s="16"/>
      <c r="L78" s="16"/>
      <c r="M78" s="16"/>
      <c r="N78" s="16"/>
      <c r="O78" s="16"/>
      <c r="P78" s="16"/>
      <c r="Q78" s="16"/>
      <c r="R78" s="16"/>
      <c r="S78" s="16"/>
      <c r="T78" s="16"/>
      <c r="U78" s="16"/>
      <c r="V78" s="16"/>
      <c r="W78" s="6"/>
      <c r="X78" s="6"/>
      <c r="Y78" s="6"/>
      <c r="Z78" s="6"/>
    </row>
    <row r="79" spans="1:26" ht="13.5" customHeight="1">
      <c r="A79" s="16"/>
      <c r="B79" s="16"/>
      <c r="C79" s="16"/>
      <c r="D79" s="16"/>
      <c r="E79" s="16"/>
      <c r="F79" s="16"/>
      <c r="G79" s="16"/>
      <c r="H79" s="16"/>
      <c r="I79" s="16"/>
      <c r="J79" s="16"/>
      <c r="K79" s="16"/>
      <c r="L79" s="16"/>
      <c r="M79" s="16"/>
      <c r="N79" s="16"/>
      <c r="O79" s="16"/>
      <c r="P79" s="16"/>
      <c r="Q79" s="16"/>
      <c r="R79" s="16"/>
      <c r="S79" s="16"/>
      <c r="T79" s="16"/>
      <c r="U79" s="16"/>
      <c r="V79" s="16"/>
      <c r="W79" s="6"/>
      <c r="X79" s="6"/>
      <c r="Y79" s="6"/>
      <c r="Z79" s="6"/>
    </row>
    <row r="80" spans="1:26" ht="13.5" customHeight="1">
      <c r="A80" s="16"/>
      <c r="B80" s="16"/>
      <c r="C80" s="16"/>
      <c r="D80" s="16"/>
      <c r="E80" s="16"/>
      <c r="F80" s="16"/>
      <c r="G80" s="16"/>
      <c r="H80" s="16"/>
      <c r="I80" s="16"/>
      <c r="J80" s="16"/>
      <c r="K80" s="16"/>
      <c r="L80" s="16"/>
      <c r="M80" s="16"/>
      <c r="N80" s="16"/>
      <c r="O80" s="16"/>
      <c r="P80" s="16"/>
      <c r="Q80" s="16"/>
      <c r="R80" s="16"/>
      <c r="S80" s="16"/>
      <c r="T80" s="16"/>
      <c r="U80" s="16"/>
      <c r="V80" s="16"/>
      <c r="W80" s="6"/>
      <c r="X80" s="6"/>
      <c r="Y80" s="6"/>
      <c r="Z80" s="6"/>
    </row>
    <row r="81" spans="1:26" ht="13.5" customHeight="1">
      <c r="A81" s="16"/>
      <c r="B81" s="16"/>
      <c r="C81" s="16"/>
      <c r="D81" s="16"/>
      <c r="E81" s="16"/>
      <c r="F81" s="16"/>
      <c r="G81" s="16"/>
      <c r="H81" s="16"/>
      <c r="I81" s="16"/>
      <c r="J81" s="16"/>
      <c r="K81" s="16"/>
      <c r="L81" s="16"/>
      <c r="M81" s="16"/>
      <c r="N81" s="16"/>
      <c r="O81" s="16"/>
      <c r="P81" s="16"/>
      <c r="Q81" s="16"/>
      <c r="R81" s="16"/>
      <c r="S81" s="16"/>
      <c r="T81" s="16"/>
      <c r="U81" s="16"/>
      <c r="V81" s="16"/>
      <c r="W81" s="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5">
    <mergeCell ref="F2:T5"/>
    <mergeCell ref="B7:J7"/>
    <mergeCell ref="B34:G34"/>
    <mergeCell ref="I34:J34"/>
    <mergeCell ref="B35:G35"/>
  </mergeCells>
  <dataValidations count="5">
    <dataValidation type="list" errorStyle="warning" allowBlank="1" showErrorMessage="1" errorTitle="Categoría" error="Esta categoría no está en la lista de abajo (filas 40-47): el pago cuenta en el total pero no en el gráfico por categoría." sqref="D9:D33" xr:uid="{00000000-0002-0000-0300-000000000000}">
      <formula1>$C$40:$C$47</formula1>
    </dataValidation>
    <dataValidation type="whole" allowBlank="1" showErrorMessage="1" errorTitle="Día" error="El día tiene que ser un número del 1 al 31." sqref="F9:F33" xr:uid="{00000000-0002-0000-0300-000001000000}">
      <formula1>1</formula1>
      <formula2>31</formula2>
    </dataValidation>
    <dataValidation type="decimal" operator="greaterThanOrEqual" allowBlank="1" showErrorMessage="1" errorTitle="Monto" error="El monto tiene que ser un número mayor o igual a cero." sqref="G9:G33" xr:uid="{00000000-0002-0000-0300-000002000000}">
      <formula1>0</formula1>
    </dataValidation>
    <dataValidation type="list" allowBlank="1" showErrorMessage="1" errorTitle="Estado" error="Elegí Activo, Pausado o Cancelado de la lista." sqref="J9:J33" xr:uid="{00000000-0002-0000-0300-000003000000}">
      <formula1>"Activo,Pausado,Cancelado"</formula1>
    </dataValidation>
    <dataValidation type="list" allowBlank="1" showErrorMessage="1" errorTitle="Frecuencia" error="Elegí la frecuencia de la lista." sqref="E9:E33" xr:uid="{00000000-0002-0000-0300-000004000000}">
      <formula1>"Mensual,Bimestral,Trimestral,Cuatrimestral,Semestral,Anual,Único"</formula1>
    </dataValidation>
  </dataValidations>
  <pageMargins left="0.75" right="0.75" top="1" bottom="1"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A8C7E"/>
  </sheetPr>
  <dimension ref="A1:Z1000"/>
  <sheetViews>
    <sheetView showGridLines="0" workbookViewId="0"/>
  </sheetViews>
  <sheetFormatPr baseColWidth="10" defaultColWidth="12.59765625" defaultRowHeight="15" customHeight="1"/>
  <cols>
    <col min="1" max="1" width="2" customWidth="1"/>
    <col min="2" max="2" width="5" customWidth="1"/>
    <col min="3" max="3" width="21.3984375" customWidth="1"/>
    <col min="4" max="4" width="16.8984375" customWidth="1"/>
    <col min="5" max="5" width="15.3984375" customWidth="1"/>
    <col min="6" max="6" width="10.69921875" customWidth="1"/>
    <col min="7" max="7" width="12.19921875" customWidth="1"/>
    <col min="8" max="8" width="13.69921875" customWidth="1"/>
    <col min="9" max="9" width="35" customWidth="1"/>
    <col min="10" max="10" width="4" customWidth="1"/>
    <col min="11" max="22" width="8.69921875" customWidth="1"/>
    <col min="23" max="26" width="14.3984375" customWidth="1"/>
  </cols>
  <sheetData>
    <row r="1" spans="1:26" ht="6" customHeight="1">
      <c r="A1" s="7"/>
      <c r="B1" s="7"/>
      <c r="C1" s="7"/>
      <c r="D1" s="7"/>
      <c r="E1" s="7"/>
      <c r="F1" s="7"/>
      <c r="G1" s="7"/>
      <c r="H1" s="7"/>
      <c r="I1" s="7"/>
      <c r="J1" s="7"/>
      <c r="K1" s="7"/>
      <c r="L1" s="7"/>
      <c r="M1" s="7"/>
      <c r="N1" s="7"/>
      <c r="O1" s="7"/>
      <c r="P1" s="7"/>
      <c r="Q1" s="7"/>
      <c r="R1" s="7"/>
      <c r="S1" s="7"/>
      <c r="T1" s="7"/>
      <c r="U1" s="7"/>
      <c r="V1" s="7"/>
      <c r="W1" s="6"/>
      <c r="X1" s="6"/>
      <c r="Y1" s="6"/>
      <c r="Z1" s="6"/>
    </row>
    <row r="2" spans="1:26" ht="21.75" customHeight="1">
      <c r="A2" s="7"/>
      <c r="B2" s="118" t="s">
        <v>199</v>
      </c>
      <c r="C2" s="88"/>
      <c r="D2" s="88"/>
      <c r="E2" s="88"/>
      <c r="F2" s="88"/>
      <c r="G2" s="119" t="s">
        <v>200</v>
      </c>
      <c r="H2" s="109"/>
      <c r="I2" s="109"/>
      <c r="J2" s="109"/>
      <c r="K2" s="109"/>
      <c r="L2" s="109"/>
      <c r="M2" s="109"/>
      <c r="N2" s="109"/>
      <c r="O2" s="109"/>
      <c r="P2" s="109"/>
      <c r="Q2" s="109"/>
      <c r="R2" s="109"/>
      <c r="S2" s="109"/>
      <c r="T2" s="109"/>
      <c r="U2" s="7"/>
      <c r="V2" s="7"/>
      <c r="W2" s="6"/>
      <c r="X2" s="6"/>
      <c r="Y2" s="6"/>
      <c r="Z2" s="6"/>
    </row>
    <row r="3" spans="1:26" ht="15.75" customHeight="1">
      <c r="A3" s="7"/>
      <c r="B3" s="87" t="s">
        <v>201</v>
      </c>
      <c r="C3" s="88"/>
      <c r="D3" s="88"/>
      <c r="E3" s="88"/>
      <c r="F3" s="88"/>
      <c r="G3" s="110"/>
      <c r="H3" s="111"/>
      <c r="I3" s="111"/>
      <c r="J3" s="111"/>
      <c r="K3" s="111"/>
      <c r="L3" s="111"/>
      <c r="M3" s="111"/>
      <c r="N3" s="111"/>
      <c r="O3" s="111"/>
      <c r="P3" s="111"/>
      <c r="Q3" s="111"/>
      <c r="R3" s="111"/>
      <c r="S3" s="111"/>
      <c r="T3" s="111"/>
      <c r="U3" s="7"/>
      <c r="V3" s="7"/>
      <c r="W3" s="6"/>
      <c r="X3" s="6"/>
      <c r="Y3" s="6"/>
      <c r="Z3" s="6"/>
    </row>
    <row r="4" spans="1:26" ht="6" customHeight="1">
      <c r="A4" s="7"/>
      <c r="B4" s="7"/>
      <c r="C4" s="7"/>
      <c r="D4" s="7"/>
      <c r="E4" s="7"/>
      <c r="F4" s="7"/>
      <c r="G4" s="110"/>
      <c r="H4" s="111"/>
      <c r="I4" s="111"/>
      <c r="J4" s="111"/>
      <c r="K4" s="111"/>
      <c r="L4" s="111"/>
      <c r="M4" s="111"/>
      <c r="N4" s="111"/>
      <c r="O4" s="111"/>
      <c r="P4" s="111"/>
      <c r="Q4" s="111"/>
      <c r="R4" s="111"/>
      <c r="S4" s="111"/>
      <c r="T4" s="111"/>
      <c r="U4" s="1"/>
      <c r="V4" s="1"/>
      <c r="W4" s="6"/>
      <c r="X4" s="6"/>
      <c r="Y4" s="6"/>
      <c r="Z4" s="6"/>
    </row>
    <row r="5" spans="1:26" ht="34.5" customHeight="1">
      <c r="A5" s="7"/>
      <c r="B5" s="7"/>
      <c r="C5" s="7"/>
      <c r="D5" s="7"/>
      <c r="E5" s="7"/>
      <c r="F5" s="7"/>
      <c r="G5" s="110"/>
      <c r="H5" s="111"/>
      <c r="I5" s="111"/>
      <c r="J5" s="111"/>
      <c r="K5" s="111"/>
      <c r="L5" s="111"/>
      <c r="M5" s="111"/>
      <c r="N5" s="111"/>
      <c r="O5" s="111"/>
      <c r="P5" s="111"/>
      <c r="Q5" s="111"/>
      <c r="R5" s="111"/>
      <c r="S5" s="111"/>
      <c r="T5" s="111"/>
      <c r="U5" s="7"/>
      <c r="V5" s="7"/>
      <c r="W5" s="5"/>
      <c r="X5" s="6"/>
      <c r="Y5" s="6"/>
      <c r="Z5" s="6"/>
    </row>
    <row r="6" spans="1:26" ht="11.25" customHeight="1">
      <c r="A6" s="16"/>
      <c r="B6" s="17"/>
      <c r="C6" s="17"/>
      <c r="D6" s="17"/>
      <c r="E6" s="17"/>
      <c r="F6" s="17"/>
      <c r="G6" s="17"/>
      <c r="H6" s="17"/>
      <c r="I6" s="17"/>
      <c r="J6" s="17"/>
      <c r="K6" s="17"/>
      <c r="L6" s="17"/>
      <c r="M6" s="17"/>
      <c r="N6" s="17"/>
      <c r="O6" s="17"/>
      <c r="P6" s="16"/>
      <c r="Q6" s="16"/>
      <c r="R6" s="16"/>
      <c r="S6" s="16"/>
      <c r="T6" s="16"/>
      <c r="U6" s="16"/>
      <c r="V6" s="16"/>
      <c r="W6" s="16"/>
      <c r="X6" s="16"/>
      <c r="Y6" s="6"/>
      <c r="Z6" s="6"/>
    </row>
    <row r="7" spans="1:26" ht="21.75" customHeight="1">
      <c r="A7" s="16"/>
      <c r="B7" s="129" t="s">
        <v>202</v>
      </c>
      <c r="C7" s="88"/>
      <c r="D7" s="88"/>
      <c r="E7" s="88"/>
      <c r="F7" s="88"/>
      <c r="G7" s="88"/>
      <c r="H7" s="88"/>
      <c r="I7" s="88"/>
      <c r="J7" s="16"/>
      <c r="K7" s="16"/>
      <c r="L7" s="16"/>
      <c r="M7" s="16"/>
      <c r="N7" s="16"/>
      <c r="O7" s="16"/>
      <c r="P7" s="16"/>
      <c r="Q7" s="16"/>
      <c r="R7" s="16"/>
      <c r="S7" s="16"/>
      <c r="T7" s="16"/>
      <c r="U7" s="16"/>
      <c r="V7" s="16"/>
      <c r="W7" s="6"/>
      <c r="X7" s="6"/>
      <c r="Y7" s="6"/>
      <c r="Z7" s="6"/>
    </row>
    <row r="8" spans="1:26" ht="28.5" customHeight="1">
      <c r="A8" s="16"/>
      <c r="B8" s="31" t="s">
        <v>181</v>
      </c>
      <c r="C8" s="31" t="s">
        <v>118</v>
      </c>
      <c r="D8" s="31" t="s">
        <v>203</v>
      </c>
      <c r="E8" s="31" t="s">
        <v>186</v>
      </c>
      <c r="F8" s="31" t="s">
        <v>204</v>
      </c>
      <c r="G8" s="31" t="s">
        <v>205</v>
      </c>
      <c r="H8" s="31" t="s">
        <v>206</v>
      </c>
      <c r="I8" s="31" t="s">
        <v>207</v>
      </c>
      <c r="J8" s="16"/>
      <c r="K8" s="16"/>
      <c r="L8" s="16"/>
      <c r="M8" s="16"/>
      <c r="N8" s="16"/>
      <c r="O8" s="16"/>
      <c r="P8" s="16"/>
      <c r="Q8" s="16"/>
      <c r="R8" s="16"/>
      <c r="S8" s="16"/>
      <c r="T8" s="16"/>
      <c r="U8" s="16"/>
      <c r="V8" s="16"/>
      <c r="W8" s="6"/>
      <c r="X8" s="6"/>
      <c r="Y8" s="6"/>
      <c r="Z8" s="6"/>
    </row>
    <row r="9" spans="1:26" ht="20.25" customHeight="1">
      <c r="A9" s="16"/>
      <c r="B9" s="48">
        <v>1</v>
      </c>
      <c r="C9" s="80"/>
      <c r="D9" s="81"/>
      <c r="E9" s="86" t="str">
        <f t="shared" ref="E9:E23" si="0">IF(D9="","",D9*12)</f>
        <v/>
      </c>
      <c r="F9" s="80"/>
      <c r="G9" s="82"/>
      <c r="H9" s="55" t="str">
        <f t="shared" ref="H9:H23" si="1">IF(OR(F9="",G9=""),"",F9+G9)</f>
        <v/>
      </c>
      <c r="I9" s="56" t="str">
        <f t="shared" ref="I9:I23" si="2">IF(C9="","",IF(H9="","⚪ Faltan datos: completá uso y valor",IF(H9&gt;=8,"💚 Mantener. La usás y la valorás",IF(H9&gt;=6,"💛 Revisar. ¿Justifica el costo?",IF(H9&gt;=4,"🟠 Considerar cancelar","🔴 CANCELAR. No la usás")))))</f>
        <v/>
      </c>
      <c r="J9" s="16"/>
      <c r="K9" s="16"/>
      <c r="L9" s="16"/>
      <c r="M9" s="16"/>
      <c r="N9" s="16"/>
      <c r="O9" s="16"/>
      <c r="P9" s="16"/>
      <c r="Q9" s="16"/>
      <c r="R9" s="16"/>
      <c r="S9" s="16"/>
      <c r="T9" s="16"/>
      <c r="U9" s="16"/>
      <c r="V9" s="16"/>
      <c r="W9" s="6"/>
      <c r="X9" s="6"/>
      <c r="Y9" s="6"/>
      <c r="Z9" s="6"/>
    </row>
    <row r="10" spans="1:26" ht="20.25" customHeight="1">
      <c r="A10" s="16"/>
      <c r="B10" s="48">
        <v>2</v>
      </c>
      <c r="C10" s="80"/>
      <c r="D10" s="81"/>
      <c r="E10" s="86" t="str">
        <f t="shared" si="0"/>
        <v/>
      </c>
      <c r="F10" s="80"/>
      <c r="G10" s="82"/>
      <c r="H10" s="55" t="str">
        <f t="shared" si="1"/>
        <v/>
      </c>
      <c r="I10" s="56" t="str">
        <f t="shared" si="2"/>
        <v/>
      </c>
      <c r="J10" s="16"/>
      <c r="K10" s="16"/>
      <c r="L10" s="16"/>
      <c r="M10" s="16"/>
      <c r="N10" s="16"/>
      <c r="O10" s="16"/>
      <c r="P10" s="16"/>
      <c r="Q10" s="16"/>
      <c r="R10" s="16"/>
      <c r="S10" s="16"/>
      <c r="T10" s="16"/>
      <c r="U10" s="16"/>
      <c r="V10" s="16"/>
      <c r="W10" s="6"/>
      <c r="X10" s="6"/>
      <c r="Y10" s="6"/>
      <c r="Z10" s="6"/>
    </row>
    <row r="11" spans="1:26" ht="20.25" customHeight="1">
      <c r="A11" s="16"/>
      <c r="B11" s="48">
        <v>3</v>
      </c>
      <c r="C11" s="80"/>
      <c r="D11" s="81"/>
      <c r="E11" s="86" t="str">
        <f t="shared" si="0"/>
        <v/>
      </c>
      <c r="F11" s="80"/>
      <c r="G11" s="82"/>
      <c r="H11" s="55" t="str">
        <f t="shared" si="1"/>
        <v/>
      </c>
      <c r="I11" s="56" t="str">
        <f t="shared" si="2"/>
        <v/>
      </c>
      <c r="J11" s="16"/>
      <c r="K11" s="16"/>
      <c r="L11" s="16"/>
      <c r="M11" s="16"/>
      <c r="N11" s="16"/>
      <c r="O11" s="16"/>
      <c r="P11" s="16"/>
      <c r="Q11" s="16"/>
      <c r="R11" s="16"/>
      <c r="S11" s="16"/>
      <c r="T11" s="16"/>
      <c r="U11" s="16"/>
      <c r="V11" s="16"/>
      <c r="W11" s="6"/>
      <c r="X11" s="6"/>
      <c r="Y11" s="6"/>
      <c r="Z11" s="6"/>
    </row>
    <row r="12" spans="1:26" ht="20.25" customHeight="1">
      <c r="A12" s="16"/>
      <c r="B12" s="48">
        <v>4</v>
      </c>
      <c r="C12" s="80"/>
      <c r="D12" s="81"/>
      <c r="E12" s="86" t="str">
        <f t="shared" si="0"/>
        <v/>
      </c>
      <c r="F12" s="80"/>
      <c r="G12" s="82"/>
      <c r="H12" s="55" t="str">
        <f t="shared" si="1"/>
        <v/>
      </c>
      <c r="I12" s="56" t="str">
        <f t="shared" si="2"/>
        <v/>
      </c>
      <c r="J12" s="16"/>
      <c r="K12" s="16"/>
      <c r="L12" s="16"/>
      <c r="M12" s="16"/>
      <c r="N12" s="16"/>
      <c r="O12" s="16"/>
      <c r="P12" s="16"/>
      <c r="Q12" s="16"/>
      <c r="R12" s="16"/>
      <c r="S12" s="16"/>
      <c r="T12" s="16"/>
      <c r="U12" s="16"/>
      <c r="V12" s="16"/>
      <c r="W12" s="6"/>
      <c r="X12" s="6"/>
      <c r="Y12" s="6"/>
      <c r="Z12" s="6"/>
    </row>
    <row r="13" spans="1:26" ht="20.25" customHeight="1">
      <c r="A13" s="16"/>
      <c r="B13" s="48">
        <v>5</v>
      </c>
      <c r="C13" s="80"/>
      <c r="D13" s="81"/>
      <c r="E13" s="86" t="str">
        <f t="shared" si="0"/>
        <v/>
      </c>
      <c r="F13" s="80"/>
      <c r="G13" s="82"/>
      <c r="H13" s="55" t="str">
        <f t="shared" si="1"/>
        <v/>
      </c>
      <c r="I13" s="56" t="str">
        <f t="shared" si="2"/>
        <v/>
      </c>
      <c r="J13" s="16"/>
      <c r="K13" s="16"/>
      <c r="L13" s="16"/>
      <c r="M13" s="16"/>
      <c r="N13" s="16"/>
      <c r="O13" s="16"/>
      <c r="P13" s="16"/>
      <c r="Q13" s="16"/>
      <c r="R13" s="16"/>
      <c r="S13" s="16"/>
      <c r="T13" s="16"/>
      <c r="U13" s="16"/>
      <c r="V13" s="16"/>
      <c r="W13" s="6"/>
      <c r="X13" s="6"/>
      <c r="Y13" s="6"/>
      <c r="Z13" s="6"/>
    </row>
    <row r="14" spans="1:26" ht="20.25" customHeight="1">
      <c r="A14" s="16"/>
      <c r="B14" s="48">
        <v>6</v>
      </c>
      <c r="C14" s="80"/>
      <c r="D14" s="81"/>
      <c r="E14" s="86" t="str">
        <f t="shared" si="0"/>
        <v/>
      </c>
      <c r="F14" s="80"/>
      <c r="G14" s="82"/>
      <c r="H14" s="55" t="str">
        <f t="shared" si="1"/>
        <v/>
      </c>
      <c r="I14" s="56" t="str">
        <f t="shared" si="2"/>
        <v/>
      </c>
      <c r="J14" s="16"/>
      <c r="K14" s="16"/>
      <c r="L14" s="16"/>
      <c r="M14" s="16"/>
      <c r="N14" s="16"/>
      <c r="O14" s="16"/>
      <c r="P14" s="16"/>
      <c r="Q14" s="16"/>
      <c r="R14" s="16"/>
      <c r="S14" s="16"/>
      <c r="T14" s="16"/>
      <c r="U14" s="16"/>
      <c r="V14" s="16"/>
      <c r="W14" s="6"/>
      <c r="X14" s="6"/>
      <c r="Y14" s="6"/>
      <c r="Z14" s="6"/>
    </row>
    <row r="15" spans="1:26" ht="20.25" customHeight="1">
      <c r="A15" s="16"/>
      <c r="B15" s="48">
        <v>7</v>
      </c>
      <c r="C15" s="80"/>
      <c r="D15" s="81"/>
      <c r="E15" s="86" t="str">
        <f t="shared" si="0"/>
        <v/>
      </c>
      <c r="F15" s="80"/>
      <c r="G15" s="82"/>
      <c r="H15" s="55" t="str">
        <f t="shared" si="1"/>
        <v/>
      </c>
      <c r="I15" s="56" t="str">
        <f t="shared" si="2"/>
        <v/>
      </c>
      <c r="J15" s="16"/>
      <c r="K15" s="16"/>
      <c r="L15" s="16"/>
      <c r="M15" s="16"/>
      <c r="N15" s="16"/>
      <c r="O15" s="16"/>
      <c r="P15" s="16"/>
      <c r="Q15" s="16"/>
      <c r="R15" s="16"/>
      <c r="S15" s="16"/>
      <c r="T15" s="16"/>
      <c r="U15" s="16"/>
      <c r="V15" s="16"/>
      <c r="W15" s="6"/>
      <c r="X15" s="6"/>
      <c r="Y15" s="6"/>
      <c r="Z15" s="6"/>
    </row>
    <row r="16" spans="1:26" ht="20.25" customHeight="1">
      <c r="A16" s="16"/>
      <c r="B16" s="48">
        <v>8</v>
      </c>
      <c r="C16" s="80"/>
      <c r="D16" s="81"/>
      <c r="E16" s="86" t="str">
        <f t="shared" si="0"/>
        <v/>
      </c>
      <c r="F16" s="80"/>
      <c r="G16" s="82"/>
      <c r="H16" s="55" t="str">
        <f t="shared" si="1"/>
        <v/>
      </c>
      <c r="I16" s="56" t="str">
        <f t="shared" si="2"/>
        <v/>
      </c>
      <c r="J16" s="16"/>
      <c r="K16" s="16"/>
      <c r="L16" s="16"/>
      <c r="M16" s="16"/>
      <c r="N16" s="16"/>
      <c r="O16" s="16"/>
      <c r="P16" s="16"/>
      <c r="Q16" s="16"/>
      <c r="R16" s="16"/>
      <c r="S16" s="16"/>
      <c r="T16" s="16"/>
      <c r="U16" s="16"/>
      <c r="V16" s="16"/>
      <c r="W16" s="6"/>
      <c r="X16" s="6"/>
      <c r="Y16" s="6"/>
      <c r="Z16" s="6"/>
    </row>
    <row r="17" spans="1:26" ht="20.25" customHeight="1">
      <c r="A17" s="16"/>
      <c r="B17" s="48">
        <v>9</v>
      </c>
      <c r="C17" s="80"/>
      <c r="D17" s="81"/>
      <c r="E17" s="86" t="str">
        <f t="shared" si="0"/>
        <v/>
      </c>
      <c r="F17" s="80"/>
      <c r="G17" s="82"/>
      <c r="H17" s="55" t="str">
        <f t="shared" si="1"/>
        <v/>
      </c>
      <c r="I17" s="56" t="str">
        <f t="shared" si="2"/>
        <v/>
      </c>
      <c r="J17" s="16"/>
      <c r="K17" s="16"/>
      <c r="L17" s="16"/>
      <c r="M17" s="16"/>
      <c r="N17" s="16"/>
      <c r="O17" s="16"/>
      <c r="P17" s="16"/>
      <c r="Q17" s="16"/>
      <c r="R17" s="16"/>
      <c r="S17" s="16"/>
      <c r="T17" s="16"/>
      <c r="U17" s="16"/>
      <c r="V17" s="16"/>
      <c r="W17" s="6"/>
      <c r="X17" s="6"/>
      <c r="Y17" s="6"/>
      <c r="Z17" s="6"/>
    </row>
    <row r="18" spans="1:26" ht="20.25" customHeight="1">
      <c r="A18" s="16"/>
      <c r="B18" s="48">
        <v>10</v>
      </c>
      <c r="C18" s="80"/>
      <c r="D18" s="81"/>
      <c r="E18" s="86" t="str">
        <f t="shared" si="0"/>
        <v/>
      </c>
      <c r="F18" s="80"/>
      <c r="G18" s="82"/>
      <c r="H18" s="55" t="str">
        <f t="shared" si="1"/>
        <v/>
      </c>
      <c r="I18" s="56" t="str">
        <f t="shared" si="2"/>
        <v/>
      </c>
      <c r="J18" s="16"/>
      <c r="K18" s="16"/>
      <c r="L18" s="16"/>
      <c r="M18" s="16"/>
      <c r="N18" s="16"/>
      <c r="O18" s="16"/>
      <c r="P18" s="16"/>
      <c r="Q18" s="16"/>
      <c r="R18" s="16"/>
      <c r="S18" s="16"/>
      <c r="T18" s="16"/>
      <c r="U18" s="16"/>
      <c r="V18" s="16"/>
      <c r="W18" s="6"/>
      <c r="X18" s="6"/>
      <c r="Y18" s="6"/>
      <c r="Z18" s="6"/>
    </row>
    <row r="19" spans="1:26" ht="20.25" customHeight="1">
      <c r="A19" s="16"/>
      <c r="B19" s="48">
        <v>11</v>
      </c>
      <c r="C19" s="80"/>
      <c r="D19" s="81"/>
      <c r="E19" s="86" t="str">
        <f t="shared" si="0"/>
        <v/>
      </c>
      <c r="F19" s="80"/>
      <c r="G19" s="82"/>
      <c r="H19" s="55" t="str">
        <f t="shared" si="1"/>
        <v/>
      </c>
      <c r="I19" s="56" t="str">
        <f t="shared" si="2"/>
        <v/>
      </c>
      <c r="J19" s="16"/>
      <c r="K19" s="16"/>
      <c r="L19" s="16"/>
      <c r="M19" s="16"/>
      <c r="N19" s="16"/>
      <c r="O19" s="16"/>
      <c r="P19" s="16"/>
      <c r="Q19" s="16"/>
      <c r="R19" s="16"/>
      <c r="S19" s="16"/>
      <c r="T19" s="16"/>
      <c r="U19" s="16"/>
      <c r="V19" s="16"/>
      <c r="W19" s="6"/>
      <c r="X19" s="6"/>
      <c r="Y19" s="6"/>
      <c r="Z19" s="6"/>
    </row>
    <row r="20" spans="1:26" ht="20.25" customHeight="1">
      <c r="A20" s="16"/>
      <c r="B20" s="48">
        <v>12</v>
      </c>
      <c r="C20" s="80"/>
      <c r="D20" s="81"/>
      <c r="E20" s="86" t="str">
        <f t="shared" si="0"/>
        <v/>
      </c>
      <c r="F20" s="80"/>
      <c r="G20" s="82"/>
      <c r="H20" s="55" t="str">
        <f t="shared" si="1"/>
        <v/>
      </c>
      <c r="I20" s="56" t="str">
        <f t="shared" si="2"/>
        <v/>
      </c>
      <c r="J20" s="16"/>
      <c r="K20" s="16"/>
      <c r="L20" s="16"/>
      <c r="M20" s="16"/>
      <c r="N20" s="16"/>
      <c r="O20" s="16"/>
      <c r="P20" s="16"/>
      <c r="Q20" s="16"/>
      <c r="R20" s="16"/>
      <c r="S20" s="16"/>
      <c r="T20" s="16"/>
      <c r="U20" s="16"/>
      <c r="V20" s="16"/>
      <c r="W20" s="6"/>
      <c r="X20" s="6"/>
      <c r="Y20" s="6"/>
      <c r="Z20" s="6"/>
    </row>
    <row r="21" spans="1:26" ht="20.25" customHeight="1">
      <c r="A21" s="16"/>
      <c r="B21" s="48">
        <v>13</v>
      </c>
      <c r="C21" s="80"/>
      <c r="D21" s="81"/>
      <c r="E21" s="86" t="str">
        <f t="shared" si="0"/>
        <v/>
      </c>
      <c r="F21" s="80"/>
      <c r="G21" s="82"/>
      <c r="H21" s="55" t="str">
        <f t="shared" si="1"/>
        <v/>
      </c>
      <c r="I21" s="56" t="str">
        <f t="shared" si="2"/>
        <v/>
      </c>
      <c r="J21" s="16"/>
      <c r="K21" s="16"/>
      <c r="L21" s="16"/>
      <c r="M21" s="16"/>
      <c r="N21" s="16"/>
      <c r="O21" s="16"/>
      <c r="P21" s="16"/>
      <c r="Q21" s="16"/>
      <c r="R21" s="16"/>
      <c r="S21" s="16"/>
      <c r="T21" s="16"/>
      <c r="U21" s="16"/>
      <c r="V21" s="16"/>
      <c r="W21" s="6"/>
      <c r="X21" s="6"/>
      <c r="Y21" s="6"/>
      <c r="Z21" s="6"/>
    </row>
    <row r="22" spans="1:26" ht="20.25" customHeight="1">
      <c r="A22" s="16"/>
      <c r="B22" s="48">
        <v>14</v>
      </c>
      <c r="C22" s="80"/>
      <c r="D22" s="81"/>
      <c r="E22" s="86" t="str">
        <f t="shared" si="0"/>
        <v/>
      </c>
      <c r="F22" s="80"/>
      <c r="G22" s="82"/>
      <c r="H22" s="55" t="str">
        <f t="shared" si="1"/>
        <v/>
      </c>
      <c r="I22" s="56" t="str">
        <f t="shared" si="2"/>
        <v/>
      </c>
      <c r="J22" s="16"/>
      <c r="K22" s="16"/>
      <c r="L22" s="16"/>
      <c r="M22" s="16"/>
      <c r="N22" s="16"/>
      <c r="O22" s="16"/>
      <c r="P22" s="16"/>
      <c r="Q22" s="16"/>
      <c r="R22" s="16"/>
      <c r="S22" s="16"/>
      <c r="T22" s="16"/>
      <c r="U22" s="16"/>
      <c r="V22" s="16"/>
      <c r="W22" s="6"/>
      <c r="X22" s="6"/>
      <c r="Y22" s="6"/>
      <c r="Z22" s="6"/>
    </row>
    <row r="23" spans="1:26" ht="20.25" customHeight="1">
      <c r="A23" s="16"/>
      <c r="B23" s="48">
        <v>15</v>
      </c>
      <c r="C23" s="80"/>
      <c r="D23" s="81"/>
      <c r="E23" s="86" t="str">
        <f t="shared" si="0"/>
        <v/>
      </c>
      <c r="F23" s="80"/>
      <c r="G23" s="82"/>
      <c r="H23" s="55" t="str">
        <f t="shared" si="1"/>
        <v/>
      </c>
      <c r="I23" s="56" t="str">
        <f t="shared" si="2"/>
        <v/>
      </c>
      <c r="J23" s="16"/>
      <c r="K23" s="16"/>
      <c r="L23" s="16"/>
      <c r="M23" s="16"/>
      <c r="N23" s="16"/>
      <c r="O23" s="16"/>
      <c r="P23" s="16"/>
      <c r="Q23" s="16"/>
      <c r="R23" s="16"/>
      <c r="S23" s="16"/>
      <c r="T23" s="16"/>
      <c r="U23" s="16"/>
      <c r="V23" s="16"/>
      <c r="W23" s="6"/>
      <c r="X23" s="6"/>
      <c r="Y23" s="6"/>
      <c r="Z23" s="6"/>
    </row>
    <row r="24" spans="1:26" ht="23.25" customHeight="1">
      <c r="A24" s="16"/>
      <c r="B24" s="130" t="s">
        <v>149</v>
      </c>
      <c r="C24" s="102"/>
      <c r="D24" s="50">
        <f>SUM(D9:D23)</f>
        <v>0</v>
      </c>
      <c r="E24" s="50">
        <f>SUM(E9:E23)</f>
        <v>0</v>
      </c>
      <c r="F24" s="57"/>
      <c r="G24" s="57"/>
      <c r="H24" s="57"/>
      <c r="I24" s="57"/>
      <c r="J24" s="16"/>
      <c r="K24" s="16"/>
      <c r="L24" s="16"/>
      <c r="M24" s="16"/>
      <c r="N24" s="16"/>
      <c r="O24" s="16"/>
      <c r="P24" s="16"/>
      <c r="Q24" s="16"/>
      <c r="R24" s="16"/>
      <c r="S24" s="16"/>
      <c r="T24" s="16"/>
      <c r="U24" s="16"/>
      <c r="V24" s="16"/>
      <c r="W24" s="6"/>
      <c r="X24" s="6"/>
      <c r="Y24" s="6"/>
      <c r="Z24" s="6"/>
    </row>
    <row r="25" spans="1:26" ht="13.5" customHeight="1">
      <c r="A25" s="16"/>
      <c r="B25" s="16"/>
      <c r="C25" s="16"/>
      <c r="D25" s="16"/>
      <c r="E25" s="16"/>
      <c r="F25" s="16"/>
      <c r="G25" s="16"/>
      <c r="H25" s="16"/>
      <c r="I25" s="16"/>
      <c r="J25" s="16"/>
      <c r="K25" s="16"/>
      <c r="L25" s="16"/>
      <c r="M25" s="16"/>
      <c r="N25" s="16"/>
      <c r="O25" s="16"/>
      <c r="P25" s="16"/>
      <c r="Q25" s="16"/>
      <c r="R25" s="16"/>
      <c r="S25" s="16"/>
      <c r="T25" s="16"/>
      <c r="U25" s="16"/>
      <c r="V25" s="16"/>
      <c r="W25" s="6"/>
      <c r="X25" s="6"/>
      <c r="Y25" s="6"/>
      <c r="Z25" s="6"/>
    </row>
    <row r="26" spans="1:26" ht="21.75" customHeight="1">
      <c r="A26" s="16"/>
      <c r="B26" s="113" t="s">
        <v>208</v>
      </c>
      <c r="C26" s="88"/>
      <c r="D26" s="88"/>
      <c r="E26" s="88"/>
      <c r="F26" s="88"/>
      <c r="G26" s="88"/>
      <c r="H26" s="88"/>
      <c r="I26" s="88"/>
      <c r="J26" s="16"/>
      <c r="K26" s="16"/>
      <c r="L26" s="16"/>
      <c r="M26" s="16"/>
      <c r="N26" s="16"/>
      <c r="O26" s="16"/>
      <c r="P26" s="16"/>
      <c r="Q26" s="16"/>
      <c r="R26" s="16"/>
      <c r="S26" s="16"/>
      <c r="T26" s="16"/>
      <c r="U26" s="16"/>
      <c r="V26" s="16"/>
      <c r="W26" s="6"/>
      <c r="X26" s="6"/>
      <c r="Y26" s="6"/>
      <c r="Z26" s="6"/>
    </row>
    <row r="27" spans="1:26" ht="23.25" customHeight="1">
      <c r="A27" s="16"/>
      <c r="B27" s="135" t="s">
        <v>209</v>
      </c>
      <c r="C27" s="101"/>
      <c r="D27" s="101"/>
      <c r="E27" s="101"/>
      <c r="F27" s="102"/>
      <c r="G27" s="134">
        <f>SUMIFS(E9:E23,H9:H23,"&lt;5")</f>
        <v>0</v>
      </c>
      <c r="H27" s="101"/>
      <c r="I27" s="102"/>
      <c r="J27" s="16"/>
      <c r="K27" s="16"/>
      <c r="L27" s="16"/>
      <c r="M27" s="16"/>
      <c r="N27" s="16"/>
      <c r="O27" s="16"/>
      <c r="P27" s="16"/>
      <c r="Q27" s="16"/>
      <c r="R27" s="16"/>
      <c r="S27" s="16"/>
      <c r="T27" s="16"/>
      <c r="U27" s="16"/>
      <c r="V27" s="16"/>
      <c r="W27" s="6"/>
      <c r="X27" s="6"/>
      <c r="Y27" s="6"/>
      <c r="Z27" s="6"/>
    </row>
    <row r="28" spans="1:26" ht="23.25" customHeight="1">
      <c r="A28" s="16"/>
      <c r="B28" s="135" t="s">
        <v>210</v>
      </c>
      <c r="C28" s="101"/>
      <c r="D28" s="101"/>
      <c r="E28" s="101"/>
      <c r="F28" s="102"/>
      <c r="G28" s="136">
        <f>SUMIFS(E9:E23,H9:H23,"&gt;=5",H9:H23,"&lt;8")</f>
        <v>0</v>
      </c>
      <c r="H28" s="101"/>
      <c r="I28" s="102"/>
      <c r="J28" s="16"/>
      <c r="K28" s="16"/>
      <c r="L28" s="16"/>
      <c r="M28" s="16"/>
      <c r="N28" s="16"/>
      <c r="O28" s="16"/>
      <c r="P28" s="16"/>
      <c r="Q28" s="16"/>
      <c r="R28" s="16"/>
      <c r="S28" s="16"/>
      <c r="T28" s="16"/>
      <c r="U28" s="16"/>
      <c r="V28" s="16"/>
      <c r="W28" s="6"/>
      <c r="X28" s="6"/>
      <c r="Y28" s="6"/>
      <c r="Z28" s="6"/>
    </row>
    <row r="29" spans="1:26" ht="23.25" customHeight="1">
      <c r="A29" s="16"/>
      <c r="B29" s="135" t="s">
        <v>211</v>
      </c>
      <c r="C29" s="101"/>
      <c r="D29" s="101"/>
      <c r="E29" s="101"/>
      <c r="F29" s="102"/>
      <c r="G29" s="134">
        <f>SUMIFS(E9:E23,H9:H23,"&gt;=8")</f>
        <v>0</v>
      </c>
      <c r="H29" s="101"/>
      <c r="I29" s="102"/>
      <c r="J29" s="16"/>
      <c r="K29" s="16"/>
      <c r="L29" s="16"/>
      <c r="M29" s="16"/>
      <c r="N29" s="16"/>
      <c r="O29" s="16"/>
      <c r="P29" s="16"/>
      <c r="Q29" s="16"/>
      <c r="R29" s="16"/>
      <c r="S29" s="16"/>
      <c r="T29" s="16"/>
      <c r="U29" s="16"/>
      <c r="V29" s="16"/>
      <c r="W29" s="6"/>
      <c r="X29" s="6"/>
      <c r="Y29" s="6"/>
      <c r="Z29" s="6"/>
    </row>
    <row r="30" spans="1:26" ht="13.5" customHeight="1">
      <c r="A30" s="16"/>
      <c r="B30" s="16"/>
      <c r="C30" s="16"/>
      <c r="D30" s="16"/>
      <c r="E30" s="16"/>
      <c r="F30" s="16"/>
      <c r="G30" s="16"/>
      <c r="H30" s="16"/>
      <c r="I30" s="16"/>
      <c r="J30" s="16"/>
      <c r="K30" s="16"/>
      <c r="L30" s="16"/>
      <c r="M30" s="16"/>
      <c r="N30" s="16"/>
      <c r="O30" s="16"/>
      <c r="P30" s="16"/>
      <c r="Q30" s="16"/>
      <c r="R30" s="16"/>
      <c r="S30" s="16"/>
      <c r="T30" s="16"/>
      <c r="U30" s="16"/>
      <c r="V30" s="16"/>
      <c r="W30" s="6"/>
      <c r="X30" s="6"/>
      <c r="Y30" s="6"/>
      <c r="Z30" s="6"/>
    </row>
    <row r="31" spans="1:26" ht="36.75" customHeight="1">
      <c r="A31" s="16"/>
      <c r="B31" s="133" t="str">
        <f>IF(SUMIFS(E9:E23,H9:H23,"&lt;5")&gt;0,"💡  Cancelando solo las que tienen score menor a 5 ahorrarías "&amp;FIXED(SUMIFS(E9:E23,H9:H23,"&lt;5"),0)&amp;" al año. Es plata para tu fondo de emergencia o un viaje.","💚  Tus suscripciones están bien optimizadas  cada una vale lo que pagás.")</f>
        <v>💚  Tus suscripciones están bien optimizadas  cada una vale lo que pagás.</v>
      </c>
      <c r="C31" s="88"/>
      <c r="D31" s="88"/>
      <c r="E31" s="88"/>
      <c r="F31" s="88"/>
      <c r="G31" s="88"/>
      <c r="H31" s="88"/>
      <c r="I31" s="88"/>
      <c r="J31" s="16"/>
      <c r="K31" s="16"/>
      <c r="L31" s="16"/>
      <c r="M31" s="16"/>
      <c r="N31" s="16"/>
      <c r="O31" s="16"/>
      <c r="P31" s="16"/>
      <c r="Q31" s="16"/>
      <c r="R31" s="16"/>
      <c r="S31" s="16"/>
      <c r="T31" s="16"/>
      <c r="U31" s="16"/>
      <c r="V31" s="16"/>
      <c r="W31" s="6"/>
      <c r="X31" s="6"/>
      <c r="Y31" s="6"/>
      <c r="Z31" s="6"/>
    </row>
    <row r="32" spans="1:26" ht="13.5" customHeight="1">
      <c r="A32" s="16"/>
      <c r="B32" s="16"/>
      <c r="C32" s="16"/>
      <c r="D32" s="16"/>
      <c r="E32" s="16"/>
      <c r="F32" s="16"/>
      <c r="G32" s="16"/>
      <c r="H32" s="16"/>
      <c r="I32" s="16"/>
      <c r="J32" s="16"/>
      <c r="K32" s="16"/>
      <c r="L32" s="16"/>
      <c r="M32" s="16"/>
      <c r="N32" s="16"/>
      <c r="O32" s="16"/>
      <c r="P32" s="16"/>
      <c r="Q32" s="16"/>
      <c r="R32" s="16"/>
      <c r="S32" s="16"/>
      <c r="T32" s="16"/>
      <c r="U32" s="16"/>
      <c r="V32" s="16"/>
      <c r="W32" s="6"/>
      <c r="X32" s="6"/>
      <c r="Y32" s="6"/>
      <c r="Z32" s="6"/>
    </row>
    <row r="33" spans="1:26" ht="13.5" customHeight="1">
      <c r="A33" s="16"/>
      <c r="B33" s="16"/>
      <c r="C33" s="16"/>
      <c r="D33" s="16"/>
      <c r="E33" s="16"/>
      <c r="F33" s="16"/>
      <c r="G33" s="16"/>
      <c r="H33" s="16"/>
      <c r="I33" s="16"/>
      <c r="J33" s="16"/>
      <c r="K33" s="16"/>
      <c r="L33" s="16"/>
      <c r="M33" s="16"/>
      <c r="N33" s="16"/>
      <c r="O33" s="16"/>
      <c r="P33" s="16"/>
      <c r="Q33" s="16"/>
      <c r="R33" s="16"/>
      <c r="S33" s="16"/>
      <c r="T33" s="16"/>
      <c r="U33" s="16"/>
      <c r="V33" s="16"/>
      <c r="W33" s="6"/>
      <c r="X33" s="6"/>
      <c r="Y33" s="6"/>
      <c r="Z33" s="6"/>
    </row>
    <row r="34" spans="1:26" ht="13.5" customHeight="1">
      <c r="A34" s="16"/>
      <c r="B34" s="16"/>
      <c r="C34" s="16"/>
      <c r="D34" s="16"/>
      <c r="E34" s="16"/>
      <c r="F34" s="16"/>
      <c r="G34" s="16"/>
      <c r="H34" s="16"/>
      <c r="I34" s="16"/>
      <c r="J34" s="16"/>
      <c r="K34" s="16"/>
      <c r="L34" s="16"/>
      <c r="M34" s="16"/>
      <c r="N34" s="16"/>
      <c r="O34" s="16"/>
      <c r="P34" s="16"/>
      <c r="Q34" s="16"/>
      <c r="R34" s="16"/>
      <c r="S34" s="16"/>
      <c r="T34" s="16"/>
      <c r="U34" s="16"/>
      <c r="V34" s="16"/>
      <c r="W34" s="6"/>
      <c r="X34" s="6"/>
      <c r="Y34" s="6"/>
      <c r="Z34" s="6"/>
    </row>
    <row r="35" spans="1:26" ht="13.5" customHeight="1">
      <c r="A35" s="16"/>
      <c r="B35" s="16"/>
      <c r="C35" s="16"/>
      <c r="D35" s="16"/>
      <c r="E35" s="16"/>
      <c r="F35" s="16"/>
      <c r="G35" s="16"/>
      <c r="H35" s="16"/>
      <c r="I35" s="16"/>
      <c r="J35" s="16"/>
      <c r="K35" s="16"/>
      <c r="L35" s="16"/>
      <c r="M35" s="16"/>
      <c r="N35" s="16"/>
      <c r="O35" s="16"/>
      <c r="P35" s="16"/>
      <c r="Q35" s="16"/>
      <c r="R35" s="16"/>
      <c r="S35" s="16"/>
      <c r="T35" s="16"/>
      <c r="U35" s="16"/>
      <c r="V35" s="16"/>
      <c r="W35" s="6"/>
      <c r="X35" s="6"/>
      <c r="Y35" s="6"/>
      <c r="Z35" s="6"/>
    </row>
    <row r="36" spans="1:26" ht="13.5" customHeight="1">
      <c r="A36" s="16"/>
      <c r="B36" s="16"/>
      <c r="C36" s="16"/>
      <c r="D36" s="16"/>
      <c r="E36" s="16"/>
      <c r="F36" s="16"/>
      <c r="G36" s="16"/>
      <c r="H36" s="16"/>
      <c r="I36" s="16"/>
      <c r="J36" s="16"/>
      <c r="K36" s="16"/>
      <c r="L36" s="16"/>
      <c r="M36" s="16"/>
      <c r="N36" s="16"/>
      <c r="O36" s="16"/>
      <c r="P36" s="16"/>
      <c r="Q36" s="16"/>
      <c r="R36" s="16"/>
      <c r="S36" s="16"/>
      <c r="T36" s="16"/>
      <c r="U36" s="16"/>
      <c r="V36" s="16"/>
      <c r="W36" s="6"/>
      <c r="X36" s="6"/>
      <c r="Y36" s="6"/>
      <c r="Z36" s="6"/>
    </row>
    <row r="37" spans="1:26" ht="13.5" customHeight="1">
      <c r="A37" s="16"/>
      <c r="B37" s="16"/>
      <c r="C37" s="16"/>
      <c r="D37" s="16"/>
      <c r="E37" s="16"/>
      <c r="F37" s="16"/>
      <c r="G37" s="16"/>
      <c r="H37" s="16"/>
      <c r="I37" s="16"/>
      <c r="J37" s="16"/>
      <c r="K37" s="16"/>
      <c r="L37" s="16"/>
      <c r="M37" s="16"/>
      <c r="N37" s="16"/>
      <c r="O37" s="16"/>
      <c r="P37" s="16"/>
      <c r="Q37" s="16"/>
      <c r="R37" s="16"/>
      <c r="S37" s="16"/>
      <c r="T37" s="16"/>
      <c r="U37" s="16"/>
      <c r="V37" s="16"/>
      <c r="W37" s="6"/>
      <c r="X37" s="6"/>
      <c r="Y37" s="6"/>
      <c r="Z37" s="6"/>
    </row>
    <row r="38" spans="1:26" ht="13.5" customHeight="1">
      <c r="A38" s="16"/>
      <c r="B38" s="16"/>
      <c r="C38" s="16"/>
      <c r="D38" s="16"/>
      <c r="E38" s="16"/>
      <c r="F38" s="16"/>
      <c r="G38" s="16"/>
      <c r="H38" s="16"/>
      <c r="I38" s="16"/>
      <c r="J38" s="16"/>
      <c r="K38" s="16"/>
      <c r="L38" s="16"/>
      <c r="M38" s="16"/>
      <c r="N38" s="16"/>
      <c r="O38" s="16"/>
      <c r="P38" s="16"/>
      <c r="Q38" s="16"/>
      <c r="R38" s="16"/>
      <c r="S38" s="16"/>
      <c r="T38" s="16"/>
      <c r="U38" s="16"/>
      <c r="V38" s="16"/>
      <c r="W38" s="6"/>
      <c r="X38" s="6"/>
      <c r="Y38" s="6"/>
      <c r="Z38" s="6"/>
    </row>
    <row r="39" spans="1:26" ht="13.5" customHeight="1">
      <c r="A39" s="16"/>
      <c r="B39" s="16"/>
      <c r="C39" s="16"/>
      <c r="D39" s="16"/>
      <c r="E39" s="16"/>
      <c r="F39" s="16"/>
      <c r="G39" s="16"/>
      <c r="H39" s="16"/>
      <c r="I39" s="16"/>
      <c r="J39" s="16"/>
      <c r="K39" s="16"/>
      <c r="L39" s="16"/>
      <c r="M39" s="16"/>
      <c r="N39" s="16"/>
      <c r="O39" s="16"/>
      <c r="P39" s="16"/>
      <c r="Q39" s="16"/>
      <c r="R39" s="16"/>
      <c r="S39" s="16"/>
      <c r="T39" s="16"/>
      <c r="U39" s="16"/>
      <c r="V39" s="16"/>
      <c r="W39" s="6"/>
      <c r="X39" s="6"/>
      <c r="Y39" s="6"/>
      <c r="Z39" s="6"/>
    </row>
    <row r="40" spans="1:26" ht="13.5" customHeight="1">
      <c r="A40" s="16"/>
      <c r="B40" s="16"/>
      <c r="C40" s="16"/>
      <c r="D40" s="16"/>
      <c r="E40" s="16"/>
      <c r="F40" s="16"/>
      <c r="G40" s="16"/>
      <c r="H40" s="16"/>
      <c r="I40" s="16"/>
      <c r="J40" s="16"/>
      <c r="K40" s="16"/>
      <c r="L40" s="16"/>
      <c r="M40" s="16"/>
      <c r="N40" s="16"/>
      <c r="O40" s="16"/>
      <c r="P40" s="16"/>
      <c r="Q40" s="16"/>
      <c r="R40" s="16"/>
      <c r="S40" s="16"/>
      <c r="T40" s="16"/>
      <c r="U40" s="16"/>
      <c r="V40" s="16"/>
      <c r="W40" s="6"/>
      <c r="X40" s="6"/>
      <c r="Y40" s="6"/>
      <c r="Z40" s="6"/>
    </row>
    <row r="41" spans="1:26" ht="13.5" customHeight="1">
      <c r="A41" s="16"/>
      <c r="B41" s="16"/>
      <c r="C41" s="16"/>
      <c r="D41" s="16"/>
      <c r="E41" s="16"/>
      <c r="F41" s="16"/>
      <c r="G41" s="16"/>
      <c r="H41" s="16"/>
      <c r="I41" s="16"/>
      <c r="J41" s="16"/>
      <c r="K41" s="16"/>
      <c r="L41" s="16"/>
      <c r="M41" s="16"/>
      <c r="N41" s="16"/>
      <c r="O41" s="16"/>
      <c r="P41" s="16"/>
      <c r="Q41" s="16"/>
      <c r="R41" s="16"/>
      <c r="S41" s="16"/>
      <c r="T41" s="16"/>
      <c r="U41" s="16"/>
      <c r="V41" s="16"/>
      <c r="W41" s="6"/>
      <c r="X41" s="6"/>
      <c r="Y41" s="6"/>
      <c r="Z41" s="6"/>
    </row>
    <row r="42" spans="1:26" ht="13.5" customHeight="1">
      <c r="A42" s="16"/>
      <c r="B42" s="16"/>
      <c r="C42" s="16"/>
      <c r="D42" s="16"/>
      <c r="E42" s="16"/>
      <c r="F42" s="16"/>
      <c r="G42" s="16"/>
      <c r="H42" s="16"/>
      <c r="I42" s="16"/>
      <c r="J42" s="16"/>
      <c r="K42" s="16"/>
      <c r="L42" s="16"/>
      <c r="M42" s="16"/>
      <c r="N42" s="16"/>
      <c r="O42" s="16"/>
      <c r="P42" s="16"/>
      <c r="Q42" s="16"/>
      <c r="R42" s="16"/>
      <c r="S42" s="16"/>
      <c r="T42" s="16"/>
      <c r="U42" s="16"/>
      <c r="V42" s="16"/>
      <c r="W42" s="6"/>
      <c r="X42" s="6"/>
      <c r="Y42" s="6"/>
      <c r="Z42" s="6"/>
    </row>
    <row r="43" spans="1:26" ht="13.5" customHeight="1">
      <c r="A43" s="16"/>
      <c r="B43" s="16"/>
      <c r="C43" s="16"/>
      <c r="D43" s="16"/>
      <c r="E43" s="16"/>
      <c r="F43" s="16"/>
      <c r="G43" s="16"/>
      <c r="H43" s="16"/>
      <c r="I43" s="16"/>
      <c r="J43" s="16"/>
      <c r="K43" s="16"/>
      <c r="L43" s="16"/>
      <c r="M43" s="16"/>
      <c r="N43" s="16"/>
      <c r="O43" s="16"/>
      <c r="P43" s="16"/>
      <c r="Q43" s="16"/>
      <c r="R43" s="16"/>
      <c r="S43" s="16"/>
      <c r="T43" s="16"/>
      <c r="U43" s="16"/>
      <c r="V43" s="16"/>
      <c r="W43" s="6"/>
      <c r="X43" s="6"/>
      <c r="Y43" s="6"/>
      <c r="Z43" s="6"/>
    </row>
    <row r="44" spans="1:26" ht="13.5" customHeight="1">
      <c r="A44" s="16"/>
      <c r="B44" s="16"/>
      <c r="C44" s="16"/>
      <c r="D44" s="16"/>
      <c r="E44" s="16"/>
      <c r="F44" s="16"/>
      <c r="G44" s="16"/>
      <c r="H44" s="16"/>
      <c r="I44" s="16"/>
      <c r="J44" s="16"/>
      <c r="K44" s="16"/>
      <c r="L44" s="16"/>
      <c r="M44" s="16"/>
      <c r="N44" s="16"/>
      <c r="O44" s="16"/>
      <c r="P44" s="16"/>
      <c r="Q44" s="16"/>
      <c r="R44" s="16"/>
      <c r="S44" s="16"/>
      <c r="T44" s="16"/>
      <c r="U44" s="16"/>
      <c r="V44" s="16"/>
      <c r="W44" s="6"/>
      <c r="X44" s="6"/>
      <c r="Y44" s="6"/>
      <c r="Z44" s="6"/>
    </row>
    <row r="45" spans="1:26" ht="13.5" customHeight="1">
      <c r="A45" s="16"/>
      <c r="B45" s="16"/>
      <c r="C45" s="16"/>
      <c r="D45" s="16"/>
      <c r="E45" s="16"/>
      <c r="F45" s="16"/>
      <c r="G45" s="16"/>
      <c r="H45" s="16"/>
      <c r="I45" s="16"/>
      <c r="J45" s="16"/>
      <c r="K45" s="16"/>
      <c r="L45" s="16"/>
      <c r="M45" s="16"/>
      <c r="N45" s="16"/>
      <c r="O45" s="16"/>
      <c r="P45" s="16"/>
      <c r="Q45" s="16"/>
      <c r="R45" s="16"/>
      <c r="S45" s="16"/>
      <c r="T45" s="16"/>
      <c r="U45" s="16"/>
      <c r="V45" s="16"/>
      <c r="W45" s="6"/>
      <c r="X45" s="6"/>
      <c r="Y45" s="6"/>
      <c r="Z45" s="6"/>
    </row>
    <row r="46" spans="1:26" ht="13.5" customHeight="1">
      <c r="A46" s="16"/>
      <c r="B46" s="16"/>
      <c r="C46" s="16"/>
      <c r="D46" s="16"/>
      <c r="E46" s="16"/>
      <c r="F46" s="16"/>
      <c r="G46" s="16"/>
      <c r="H46" s="16"/>
      <c r="I46" s="16"/>
      <c r="J46" s="16"/>
      <c r="K46" s="16"/>
      <c r="L46" s="16"/>
      <c r="M46" s="16"/>
      <c r="N46" s="16"/>
      <c r="O46" s="16"/>
      <c r="P46" s="16"/>
      <c r="Q46" s="16"/>
      <c r="R46" s="16"/>
      <c r="S46" s="16"/>
      <c r="T46" s="16"/>
      <c r="U46" s="16"/>
      <c r="V46" s="16"/>
      <c r="W46" s="6"/>
      <c r="X46" s="6"/>
      <c r="Y46" s="6"/>
      <c r="Z46" s="6"/>
    </row>
    <row r="47" spans="1:26" ht="13.5" customHeight="1">
      <c r="A47" s="16"/>
      <c r="B47" s="16"/>
      <c r="C47" s="16"/>
      <c r="D47" s="16"/>
      <c r="E47" s="16"/>
      <c r="F47" s="16"/>
      <c r="G47" s="16"/>
      <c r="H47" s="16"/>
      <c r="I47" s="16"/>
      <c r="J47" s="16"/>
      <c r="K47" s="16"/>
      <c r="L47" s="16"/>
      <c r="M47" s="16"/>
      <c r="N47" s="16"/>
      <c r="O47" s="16"/>
      <c r="P47" s="16"/>
      <c r="Q47" s="16"/>
      <c r="R47" s="16"/>
      <c r="S47" s="16"/>
      <c r="T47" s="16"/>
      <c r="U47" s="16"/>
      <c r="V47" s="16"/>
      <c r="W47" s="6"/>
      <c r="X47" s="6"/>
      <c r="Y47" s="6"/>
      <c r="Z47" s="6"/>
    </row>
    <row r="48" spans="1:26" ht="13.5" customHeight="1">
      <c r="A48" s="16"/>
      <c r="B48" s="16"/>
      <c r="C48" s="16"/>
      <c r="D48" s="16"/>
      <c r="E48" s="16"/>
      <c r="F48" s="16"/>
      <c r="G48" s="16"/>
      <c r="H48" s="16"/>
      <c r="I48" s="16"/>
      <c r="J48" s="16"/>
      <c r="K48" s="16"/>
      <c r="L48" s="16"/>
      <c r="M48" s="16"/>
      <c r="N48" s="16"/>
      <c r="O48" s="16"/>
      <c r="P48" s="16"/>
      <c r="Q48" s="16"/>
      <c r="R48" s="16"/>
      <c r="S48" s="16"/>
      <c r="T48" s="16"/>
      <c r="U48" s="16"/>
      <c r="V48" s="16"/>
      <c r="W48" s="6"/>
      <c r="X48" s="6"/>
      <c r="Y48" s="6"/>
      <c r="Z48" s="6"/>
    </row>
    <row r="49" spans="1:26" ht="13.5" customHeight="1">
      <c r="A49" s="16"/>
      <c r="B49" s="16"/>
      <c r="C49" s="16"/>
      <c r="D49" s="16"/>
      <c r="E49" s="16"/>
      <c r="F49" s="16"/>
      <c r="G49" s="16"/>
      <c r="H49" s="16"/>
      <c r="I49" s="16"/>
      <c r="J49" s="16"/>
      <c r="K49" s="16"/>
      <c r="L49" s="16"/>
      <c r="M49" s="16"/>
      <c r="N49" s="16"/>
      <c r="O49" s="16"/>
      <c r="P49" s="16"/>
      <c r="Q49" s="16"/>
      <c r="R49" s="16"/>
      <c r="S49" s="16"/>
      <c r="T49" s="16"/>
      <c r="U49" s="16"/>
      <c r="V49" s="16"/>
      <c r="W49" s="6"/>
      <c r="X49" s="6"/>
      <c r="Y49" s="6"/>
      <c r="Z49" s="6"/>
    </row>
    <row r="50" spans="1:26" ht="13.5" customHeight="1">
      <c r="A50" s="16"/>
      <c r="B50" s="16"/>
      <c r="C50" s="16"/>
      <c r="D50" s="16"/>
      <c r="E50" s="16"/>
      <c r="F50" s="16"/>
      <c r="G50" s="16"/>
      <c r="H50" s="16"/>
      <c r="I50" s="16"/>
      <c r="J50" s="16"/>
      <c r="K50" s="16"/>
      <c r="L50" s="16"/>
      <c r="M50" s="16"/>
      <c r="N50" s="16"/>
      <c r="O50" s="16"/>
      <c r="P50" s="16"/>
      <c r="Q50" s="16"/>
      <c r="R50" s="16"/>
      <c r="S50" s="16"/>
      <c r="T50" s="16"/>
      <c r="U50" s="16"/>
      <c r="V50" s="16"/>
      <c r="W50" s="6"/>
      <c r="X50" s="6"/>
      <c r="Y50" s="6"/>
      <c r="Z50" s="6"/>
    </row>
    <row r="51" spans="1:26" ht="13.5" customHeight="1">
      <c r="A51" s="16"/>
      <c r="B51" s="16"/>
      <c r="C51" s="16"/>
      <c r="D51" s="16"/>
      <c r="E51" s="16"/>
      <c r="F51" s="16"/>
      <c r="G51" s="16"/>
      <c r="H51" s="16"/>
      <c r="I51" s="16"/>
      <c r="J51" s="16"/>
      <c r="K51" s="16"/>
      <c r="L51" s="16"/>
      <c r="M51" s="16"/>
      <c r="N51" s="16"/>
      <c r="O51" s="16"/>
      <c r="P51" s="16"/>
      <c r="Q51" s="16"/>
      <c r="R51" s="16"/>
      <c r="S51" s="16"/>
      <c r="T51" s="16"/>
      <c r="U51" s="16"/>
      <c r="V51" s="16"/>
      <c r="W51" s="6"/>
      <c r="X51" s="6"/>
      <c r="Y51" s="6"/>
      <c r="Z51" s="6"/>
    </row>
    <row r="52" spans="1:26" ht="13.5" customHeight="1">
      <c r="A52" s="16"/>
      <c r="B52" s="16"/>
      <c r="C52" s="16"/>
      <c r="D52" s="16"/>
      <c r="E52" s="16"/>
      <c r="F52" s="16"/>
      <c r="G52" s="16"/>
      <c r="H52" s="16"/>
      <c r="I52" s="16"/>
      <c r="J52" s="16"/>
      <c r="K52" s="16"/>
      <c r="L52" s="16"/>
      <c r="M52" s="16"/>
      <c r="N52" s="16"/>
      <c r="O52" s="16"/>
      <c r="P52" s="16"/>
      <c r="Q52" s="16"/>
      <c r="R52" s="16"/>
      <c r="S52" s="16"/>
      <c r="T52" s="16"/>
      <c r="U52" s="16"/>
      <c r="V52" s="16"/>
      <c r="W52" s="6"/>
      <c r="X52" s="6"/>
      <c r="Y52" s="6"/>
      <c r="Z52" s="6"/>
    </row>
    <row r="53" spans="1:26" ht="13.5" customHeight="1">
      <c r="A53" s="16"/>
      <c r="B53" s="16"/>
      <c r="C53" s="16"/>
      <c r="D53" s="16"/>
      <c r="E53" s="16"/>
      <c r="F53" s="16"/>
      <c r="G53" s="16"/>
      <c r="H53" s="16"/>
      <c r="I53" s="16"/>
      <c r="J53" s="16"/>
      <c r="K53" s="16"/>
      <c r="L53" s="16"/>
      <c r="M53" s="16"/>
      <c r="N53" s="16"/>
      <c r="O53" s="16"/>
      <c r="P53" s="16"/>
      <c r="Q53" s="16"/>
      <c r="R53" s="16"/>
      <c r="S53" s="16"/>
      <c r="T53" s="16"/>
      <c r="U53" s="16"/>
      <c r="V53" s="16"/>
      <c r="W53" s="6"/>
      <c r="X53" s="6"/>
      <c r="Y53" s="6"/>
      <c r="Z53" s="6"/>
    </row>
    <row r="54" spans="1:26" ht="13.5" customHeight="1">
      <c r="A54" s="16"/>
      <c r="B54" s="16"/>
      <c r="C54" s="16"/>
      <c r="D54" s="16"/>
      <c r="E54" s="16"/>
      <c r="F54" s="16"/>
      <c r="G54" s="16"/>
      <c r="H54" s="16"/>
      <c r="I54" s="16"/>
      <c r="J54" s="16"/>
      <c r="K54" s="16"/>
      <c r="L54" s="16"/>
      <c r="M54" s="16"/>
      <c r="N54" s="16"/>
      <c r="O54" s="16"/>
      <c r="P54" s="16"/>
      <c r="Q54" s="16"/>
      <c r="R54" s="16"/>
      <c r="S54" s="16"/>
      <c r="T54" s="16"/>
      <c r="U54" s="16"/>
      <c r="V54" s="16"/>
      <c r="W54" s="6"/>
      <c r="X54" s="6"/>
      <c r="Y54" s="6"/>
      <c r="Z54" s="6"/>
    </row>
    <row r="55" spans="1:26" ht="13.5" customHeight="1">
      <c r="A55" s="16"/>
      <c r="B55" s="16"/>
      <c r="C55" s="16"/>
      <c r="D55" s="16"/>
      <c r="E55" s="16"/>
      <c r="F55" s="16"/>
      <c r="G55" s="16"/>
      <c r="H55" s="16"/>
      <c r="I55" s="16"/>
      <c r="J55" s="16"/>
      <c r="K55" s="16"/>
      <c r="L55" s="16"/>
      <c r="M55" s="16"/>
      <c r="N55" s="16"/>
      <c r="O55" s="16"/>
      <c r="P55" s="16"/>
      <c r="Q55" s="16"/>
      <c r="R55" s="16"/>
      <c r="S55" s="16"/>
      <c r="T55" s="16"/>
      <c r="U55" s="16"/>
      <c r="V55" s="16"/>
      <c r="W55" s="6"/>
      <c r="X55" s="6"/>
      <c r="Y55" s="6"/>
      <c r="Z55" s="6"/>
    </row>
    <row r="56" spans="1:26" ht="13.5" customHeight="1">
      <c r="A56" s="16"/>
      <c r="B56" s="16"/>
      <c r="C56" s="16"/>
      <c r="D56" s="16"/>
      <c r="E56" s="16"/>
      <c r="F56" s="16"/>
      <c r="G56" s="16"/>
      <c r="H56" s="16"/>
      <c r="I56" s="16"/>
      <c r="J56" s="16"/>
      <c r="K56" s="16"/>
      <c r="L56" s="16"/>
      <c r="M56" s="16"/>
      <c r="N56" s="16"/>
      <c r="O56" s="16"/>
      <c r="P56" s="16"/>
      <c r="Q56" s="16"/>
      <c r="R56" s="16"/>
      <c r="S56" s="16"/>
      <c r="T56" s="16"/>
      <c r="U56" s="16"/>
      <c r="V56" s="16"/>
      <c r="W56" s="6"/>
      <c r="X56" s="6"/>
      <c r="Y56" s="6"/>
      <c r="Z56" s="6"/>
    </row>
    <row r="57" spans="1:26" ht="13.5" customHeight="1">
      <c r="A57" s="16"/>
      <c r="B57" s="16"/>
      <c r="C57" s="16"/>
      <c r="D57" s="16"/>
      <c r="E57" s="16"/>
      <c r="F57" s="16"/>
      <c r="G57" s="16"/>
      <c r="H57" s="16"/>
      <c r="I57" s="16"/>
      <c r="J57" s="16"/>
      <c r="K57" s="16"/>
      <c r="L57" s="16"/>
      <c r="M57" s="16"/>
      <c r="N57" s="16"/>
      <c r="O57" s="16"/>
      <c r="P57" s="16"/>
      <c r="Q57" s="16"/>
      <c r="R57" s="16"/>
      <c r="S57" s="16"/>
      <c r="T57" s="16"/>
      <c r="U57" s="16"/>
      <c r="V57" s="16"/>
      <c r="W57" s="6"/>
      <c r="X57" s="6"/>
      <c r="Y57" s="6"/>
      <c r="Z57" s="6"/>
    </row>
    <row r="58" spans="1:26" ht="13.5" customHeight="1">
      <c r="A58" s="16"/>
      <c r="B58" s="16"/>
      <c r="C58" s="16"/>
      <c r="D58" s="16"/>
      <c r="E58" s="16"/>
      <c r="F58" s="16"/>
      <c r="G58" s="16"/>
      <c r="H58" s="16"/>
      <c r="I58" s="16"/>
      <c r="J58" s="16"/>
      <c r="K58" s="16"/>
      <c r="L58" s="16"/>
      <c r="M58" s="16"/>
      <c r="N58" s="16"/>
      <c r="O58" s="16"/>
      <c r="P58" s="16"/>
      <c r="Q58" s="16"/>
      <c r="R58" s="16"/>
      <c r="S58" s="16"/>
      <c r="T58" s="16"/>
      <c r="U58" s="16"/>
      <c r="V58" s="16"/>
      <c r="W58" s="6"/>
      <c r="X58" s="6"/>
      <c r="Y58" s="6"/>
      <c r="Z58" s="6"/>
    </row>
    <row r="59" spans="1:26" ht="13.5" customHeight="1">
      <c r="A59" s="16"/>
      <c r="B59" s="16"/>
      <c r="C59" s="16"/>
      <c r="D59" s="16"/>
      <c r="E59" s="16"/>
      <c r="F59" s="16"/>
      <c r="G59" s="16"/>
      <c r="H59" s="16"/>
      <c r="I59" s="16"/>
      <c r="J59" s="16"/>
      <c r="K59" s="16"/>
      <c r="L59" s="16"/>
      <c r="M59" s="16"/>
      <c r="N59" s="16"/>
      <c r="O59" s="16"/>
      <c r="P59" s="16"/>
      <c r="Q59" s="16"/>
      <c r="R59" s="16"/>
      <c r="S59" s="16"/>
      <c r="T59" s="16"/>
      <c r="U59" s="16"/>
      <c r="V59" s="16"/>
      <c r="W59" s="6"/>
      <c r="X59" s="6"/>
      <c r="Y59" s="6"/>
      <c r="Z59" s="6"/>
    </row>
    <row r="60" spans="1:26" ht="13.5" customHeight="1">
      <c r="A60" s="16"/>
      <c r="B60" s="16"/>
      <c r="C60" s="16"/>
      <c r="D60" s="16"/>
      <c r="E60" s="16"/>
      <c r="F60" s="16"/>
      <c r="G60" s="16"/>
      <c r="H60" s="16"/>
      <c r="I60" s="16"/>
      <c r="J60" s="16"/>
      <c r="K60" s="16"/>
      <c r="L60" s="16"/>
      <c r="M60" s="16"/>
      <c r="N60" s="16"/>
      <c r="O60" s="16"/>
      <c r="P60" s="16"/>
      <c r="Q60" s="16"/>
      <c r="R60" s="16"/>
      <c r="S60" s="16"/>
      <c r="T60" s="16"/>
      <c r="U60" s="16"/>
      <c r="V60" s="16"/>
      <c r="W60" s="6"/>
      <c r="X60" s="6"/>
      <c r="Y60" s="6"/>
      <c r="Z60" s="6"/>
    </row>
    <row r="61" spans="1:26" ht="13.5" customHeight="1">
      <c r="A61" s="16"/>
      <c r="B61" s="16"/>
      <c r="C61" s="16"/>
      <c r="D61" s="16"/>
      <c r="E61" s="16"/>
      <c r="F61" s="16"/>
      <c r="G61" s="16"/>
      <c r="H61" s="16"/>
      <c r="I61" s="16"/>
      <c r="J61" s="16"/>
      <c r="K61" s="16"/>
      <c r="L61" s="16"/>
      <c r="M61" s="16"/>
      <c r="N61" s="16"/>
      <c r="O61" s="16"/>
      <c r="P61" s="16"/>
      <c r="Q61" s="16"/>
      <c r="R61" s="16"/>
      <c r="S61" s="16"/>
      <c r="T61" s="16"/>
      <c r="U61" s="16"/>
      <c r="V61" s="16"/>
      <c r="W61" s="6"/>
      <c r="X61" s="6"/>
      <c r="Y61" s="6"/>
      <c r="Z61" s="6"/>
    </row>
    <row r="62" spans="1:26" ht="13.5" customHeight="1">
      <c r="A62" s="16"/>
      <c r="B62" s="16"/>
      <c r="C62" s="16"/>
      <c r="D62" s="16"/>
      <c r="E62" s="16"/>
      <c r="F62" s="16"/>
      <c r="G62" s="16"/>
      <c r="H62" s="16"/>
      <c r="I62" s="16"/>
      <c r="J62" s="16"/>
      <c r="K62" s="16"/>
      <c r="L62" s="16"/>
      <c r="M62" s="16"/>
      <c r="N62" s="16"/>
      <c r="O62" s="16"/>
      <c r="P62" s="16"/>
      <c r="Q62" s="16"/>
      <c r="R62" s="16"/>
      <c r="S62" s="16"/>
      <c r="T62" s="16"/>
      <c r="U62" s="16"/>
      <c r="V62" s="16"/>
      <c r="W62" s="6"/>
      <c r="X62" s="6"/>
      <c r="Y62" s="6"/>
      <c r="Z62" s="6"/>
    </row>
    <row r="63" spans="1:26" ht="13.5" customHeight="1">
      <c r="A63" s="16"/>
      <c r="B63" s="16"/>
      <c r="C63" s="16"/>
      <c r="D63" s="16"/>
      <c r="E63" s="16"/>
      <c r="F63" s="16"/>
      <c r="G63" s="16"/>
      <c r="H63" s="16"/>
      <c r="I63" s="16"/>
      <c r="J63" s="16"/>
      <c r="K63" s="16"/>
      <c r="L63" s="16"/>
      <c r="M63" s="16"/>
      <c r="N63" s="16"/>
      <c r="O63" s="16"/>
      <c r="P63" s="16"/>
      <c r="Q63" s="16"/>
      <c r="R63" s="16"/>
      <c r="S63" s="16"/>
      <c r="T63" s="16"/>
      <c r="U63" s="16"/>
      <c r="V63" s="16"/>
      <c r="W63" s="6"/>
      <c r="X63" s="6"/>
      <c r="Y63" s="6"/>
      <c r="Z63" s="6"/>
    </row>
    <row r="64" spans="1:26" ht="13.5" customHeight="1">
      <c r="A64" s="16"/>
      <c r="B64" s="16"/>
      <c r="C64" s="16"/>
      <c r="D64" s="16"/>
      <c r="E64" s="16"/>
      <c r="F64" s="16"/>
      <c r="G64" s="16"/>
      <c r="H64" s="16"/>
      <c r="I64" s="16"/>
      <c r="J64" s="16"/>
      <c r="K64" s="16"/>
      <c r="L64" s="16"/>
      <c r="M64" s="16"/>
      <c r="N64" s="16"/>
      <c r="O64" s="16"/>
      <c r="P64" s="16"/>
      <c r="Q64" s="16"/>
      <c r="R64" s="16"/>
      <c r="S64" s="16"/>
      <c r="T64" s="16"/>
      <c r="U64" s="16"/>
      <c r="V64" s="16"/>
      <c r="W64" s="6"/>
      <c r="X64" s="6"/>
      <c r="Y64" s="6"/>
      <c r="Z64" s="6"/>
    </row>
    <row r="65" spans="1:26" ht="13.5" customHeight="1">
      <c r="A65" s="16"/>
      <c r="B65" s="16"/>
      <c r="C65" s="16"/>
      <c r="D65" s="16"/>
      <c r="E65" s="16"/>
      <c r="F65" s="16"/>
      <c r="G65" s="16"/>
      <c r="H65" s="16"/>
      <c r="I65" s="16"/>
      <c r="J65" s="16"/>
      <c r="K65" s="16"/>
      <c r="L65" s="16"/>
      <c r="M65" s="16"/>
      <c r="N65" s="16"/>
      <c r="O65" s="16"/>
      <c r="P65" s="16"/>
      <c r="Q65" s="16"/>
      <c r="R65" s="16"/>
      <c r="S65" s="16"/>
      <c r="T65" s="16"/>
      <c r="U65" s="16"/>
      <c r="V65" s="16"/>
      <c r="W65" s="6"/>
      <c r="X65" s="6"/>
      <c r="Y65" s="6"/>
      <c r="Z65" s="6"/>
    </row>
    <row r="66" spans="1:26" ht="13.5" customHeight="1">
      <c r="A66" s="16"/>
      <c r="B66" s="16"/>
      <c r="C66" s="16"/>
      <c r="D66" s="16"/>
      <c r="E66" s="16"/>
      <c r="F66" s="16"/>
      <c r="G66" s="16"/>
      <c r="H66" s="16"/>
      <c r="I66" s="16"/>
      <c r="J66" s="16"/>
      <c r="K66" s="16"/>
      <c r="L66" s="16"/>
      <c r="M66" s="16"/>
      <c r="N66" s="16"/>
      <c r="O66" s="16"/>
      <c r="P66" s="16"/>
      <c r="Q66" s="16"/>
      <c r="R66" s="16"/>
      <c r="S66" s="16"/>
      <c r="T66" s="16"/>
      <c r="U66" s="16"/>
      <c r="V66" s="16"/>
      <c r="W66" s="6"/>
      <c r="X66" s="6"/>
      <c r="Y66" s="6"/>
      <c r="Z66" s="6"/>
    </row>
    <row r="67" spans="1:26" ht="13.5" customHeight="1">
      <c r="A67" s="16"/>
      <c r="B67" s="16"/>
      <c r="C67" s="16"/>
      <c r="D67" s="16"/>
      <c r="E67" s="16"/>
      <c r="F67" s="16"/>
      <c r="G67" s="16"/>
      <c r="H67" s="16"/>
      <c r="I67" s="16"/>
      <c r="J67" s="16"/>
      <c r="K67" s="16"/>
      <c r="L67" s="16"/>
      <c r="M67" s="16"/>
      <c r="N67" s="16"/>
      <c r="O67" s="16"/>
      <c r="P67" s="16"/>
      <c r="Q67" s="16"/>
      <c r="R67" s="16"/>
      <c r="S67" s="16"/>
      <c r="T67" s="16"/>
      <c r="U67" s="16"/>
      <c r="V67" s="16"/>
      <c r="W67" s="6"/>
      <c r="X67" s="6"/>
      <c r="Y67" s="6"/>
      <c r="Z67" s="6"/>
    </row>
    <row r="68" spans="1:26" ht="13.5" customHeight="1">
      <c r="A68" s="16"/>
      <c r="B68" s="16"/>
      <c r="C68" s="16"/>
      <c r="D68" s="16"/>
      <c r="E68" s="16"/>
      <c r="F68" s="16"/>
      <c r="G68" s="16"/>
      <c r="H68" s="16"/>
      <c r="I68" s="16"/>
      <c r="J68" s="16"/>
      <c r="K68" s="16"/>
      <c r="L68" s="16"/>
      <c r="M68" s="16"/>
      <c r="N68" s="16"/>
      <c r="O68" s="16"/>
      <c r="P68" s="16"/>
      <c r="Q68" s="16"/>
      <c r="R68" s="16"/>
      <c r="S68" s="16"/>
      <c r="T68" s="16"/>
      <c r="U68" s="16"/>
      <c r="V68" s="16"/>
      <c r="W68" s="6"/>
      <c r="X68" s="6"/>
      <c r="Y68" s="6"/>
      <c r="Z68" s="6"/>
    </row>
    <row r="69" spans="1:26" ht="13.5" customHeight="1">
      <c r="A69" s="16"/>
      <c r="B69" s="16"/>
      <c r="C69" s="16"/>
      <c r="D69" s="16"/>
      <c r="E69" s="16"/>
      <c r="F69" s="16"/>
      <c r="G69" s="16"/>
      <c r="H69" s="16"/>
      <c r="I69" s="16"/>
      <c r="J69" s="16"/>
      <c r="K69" s="16"/>
      <c r="L69" s="16"/>
      <c r="M69" s="16"/>
      <c r="N69" s="16"/>
      <c r="O69" s="16"/>
      <c r="P69" s="16"/>
      <c r="Q69" s="16"/>
      <c r="R69" s="16"/>
      <c r="S69" s="16"/>
      <c r="T69" s="16"/>
      <c r="U69" s="16"/>
      <c r="V69" s="16"/>
      <c r="W69" s="6"/>
      <c r="X69" s="6"/>
      <c r="Y69" s="6"/>
      <c r="Z69" s="6"/>
    </row>
    <row r="70" spans="1:26" ht="13.5" customHeight="1">
      <c r="A70" s="16"/>
      <c r="B70" s="16"/>
      <c r="C70" s="16"/>
      <c r="D70" s="16"/>
      <c r="E70" s="16"/>
      <c r="F70" s="16"/>
      <c r="G70" s="16"/>
      <c r="H70" s="16"/>
      <c r="I70" s="16"/>
      <c r="J70" s="16"/>
      <c r="K70" s="16"/>
      <c r="L70" s="16"/>
      <c r="M70" s="16"/>
      <c r="N70" s="16"/>
      <c r="O70" s="16"/>
      <c r="P70" s="16"/>
      <c r="Q70" s="16"/>
      <c r="R70" s="16"/>
      <c r="S70" s="16"/>
      <c r="T70" s="16"/>
      <c r="U70" s="16"/>
      <c r="V70" s="16"/>
      <c r="W70" s="6"/>
      <c r="X70" s="6"/>
      <c r="Y70" s="6"/>
      <c r="Z70" s="6"/>
    </row>
    <row r="71" spans="1:26" ht="13.5" customHeight="1">
      <c r="A71" s="16"/>
      <c r="B71" s="16"/>
      <c r="C71" s="16"/>
      <c r="D71" s="16"/>
      <c r="E71" s="16"/>
      <c r="F71" s="16"/>
      <c r="G71" s="16"/>
      <c r="H71" s="16"/>
      <c r="I71" s="16"/>
      <c r="J71" s="16"/>
      <c r="K71" s="16"/>
      <c r="L71" s="16"/>
      <c r="M71" s="16"/>
      <c r="N71" s="16"/>
      <c r="O71" s="16"/>
      <c r="P71" s="16"/>
      <c r="Q71" s="16"/>
      <c r="R71" s="16"/>
      <c r="S71" s="16"/>
      <c r="T71" s="16"/>
      <c r="U71" s="16"/>
      <c r="V71" s="16"/>
      <c r="W71" s="6"/>
      <c r="X71" s="6"/>
      <c r="Y71" s="6"/>
      <c r="Z71" s="6"/>
    </row>
    <row r="72" spans="1:26" ht="13.5" customHeight="1">
      <c r="A72" s="16"/>
      <c r="B72" s="16"/>
      <c r="C72" s="16"/>
      <c r="D72" s="16"/>
      <c r="E72" s="16"/>
      <c r="F72" s="16"/>
      <c r="G72" s="16"/>
      <c r="H72" s="16"/>
      <c r="I72" s="16"/>
      <c r="J72" s="16"/>
      <c r="K72" s="16"/>
      <c r="L72" s="16"/>
      <c r="M72" s="16"/>
      <c r="N72" s="16"/>
      <c r="O72" s="16"/>
      <c r="P72" s="16"/>
      <c r="Q72" s="16"/>
      <c r="R72" s="16"/>
      <c r="S72" s="16"/>
      <c r="T72" s="16"/>
      <c r="U72" s="16"/>
      <c r="V72" s="16"/>
      <c r="W72" s="6"/>
      <c r="X72" s="6"/>
      <c r="Y72" s="6"/>
      <c r="Z72" s="6"/>
    </row>
    <row r="73" spans="1:26" ht="13.5" customHeight="1">
      <c r="A73" s="16"/>
      <c r="B73" s="16"/>
      <c r="C73" s="16"/>
      <c r="D73" s="16"/>
      <c r="E73" s="16"/>
      <c r="F73" s="16"/>
      <c r="G73" s="16"/>
      <c r="H73" s="16"/>
      <c r="I73" s="16"/>
      <c r="J73" s="16"/>
      <c r="K73" s="16"/>
      <c r="L73" s="16"/>
      <c r="M73" s="16"/>
      <c r="N73" s="16"/>
      <c r="O73" s="16"/>
      <c r="P73" s="16"/>
      <c r="Q73" s="16"/>
      <c r="R73" s="16"/>
      <c r="S73" s="16"/>
      <c r="T73" s="16"/>
      <c r="U73" s="16"/>
      <c r="V73" s="16"/>
      <c r="W73" s="6"/>
      <c r="X73" s="6"/>
      <c r="Y73" s="6"/>
      <c r="Z73" s="6"/>
    </row>
    <row r="74" spans="1:26" ht="13.5" customHeight="1">
      <c r="A74" s="16"/>
      <c r="B74" s="16"/>
      <c r="C74" s="16"/>
      <c r="D74" s="16"/>
      <c r="E74" s="16"/>
      <c r="F74" s="16"/>
      <c r="G74" s="16"/>
      <c r="H74" s="16"/>
      <c r="I74" s="16"/>
      <c r="J74" s="16"/>
      <c r="K74" s="16"/>
      <c r="L74" s="16"/>
      <c r="M74" s="16"/>
      <c r="N74" s="16"/>
      <c r="O74" s="16"/>
      <c r="P74" s="16"/>
      <c r="Q74" s="16"/>
      <c r="R74" s="16"/>
      <c r="S74" s="16"/>
      <c r="T74" s="16"/>
      <c r="U74" s="16"/>
      <c r="V74" s="16"/>
      <c r="W74" s="6"/>
      <c r="X74" s="6"/>
      <c r="Y74" s="6"/>
      <c r="Z74" s="6"/>
    </row>
    <row r="75" spans="1:26" ht="13.5" customHeight="1">
      <c r="A75" s="16"/>
      <c r="B75" s="16"/>
      <c r="C75" s="16"/>
      <c r="D75" s="16"/>
      <c r="E75" s="16"/>
      <c r="F75" s="16"/>
      <c r="G75" s="16"/>
      <c r="H75" s="16"/>
      <c r="I75" s="16"/>
      <c r="J75" s="16"/>
      <c r="K75" s="16"/>
      <c r="L75" s="16"/>
      <c r="M75" s="16"/>
      <c r="N75" s="16"/>
      <c r="O75" s="16"/>
      <c r="P75" s="16"/>
      <c r="Q75" s="16"/>
      <c r="R75" s="16"/>
      <c r="S75" s="16"/>
      <c r="T75" s="16"/>
      <c r="U75" s="16"/>
      <c r="V75" s="16"/>
      <c r="W75" s="6"/>
      <c r="X75" s="6"/>
      <c r="Y75" s="6"/>
      <c r="Z75" s="6"/>
    </row>
    <row r="76" spans="1:26" ht="13.5" customHeight="1">
      <c r="A76" s="16"/>
      <c r="B76" s="16"/>
      <c r="C76" s="16"/>
      <c r="D76" s="16"/>
      <c r="E76" s="16"/>
      <c r="F76" s="16"/>
      <c r="G76" s="16"/>
      <c r="H76" s="16"/>
      <c r="I76" s="16"/>
      <c r="J76" s="16"/>
      <c r="K76" s="16"/>
      <c r="L76" s="16"/>
      <c r="M76" s="16"/>
      <c r="N76" s="16"/>
      <c r="O76" s="16"/>
      <c r="P76" s="16"/>
      <c r="Q76" s="16"/>
      <c r="R76" s="16"/>
      <c r="S76" s="16"/>
      <c r="T76" s="16"/>
      <c r="U76" s="16"/>
      <c r="V76" s="16"/>
      <c r="W76" s="6"/>
      <c r="X76" s="6"/>
      <c r="Y76" s="6"/>
      <c r="Z76" s="6"/>
    </row>
    <row r="77" spans="1:26"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13">
    <mergeCell ref="B31:I31"/>
    <mergeCell ref="B2:F2"/>
    <mergeCell ref="G2:T5"/>
    <mergeCell ref="B3:F3"/>
    <mergeCell ref="B7:I7"/>
    <mergeCell ref="B24:C24"/>
    <mergeCell ref="B26:I26"/>
    <mergeCell ref="G27:I27"/>
    <mergeCell ref="B27:F27"/>
    <mergeCell ref="B28:F28"/>
    <mergeCell ref="G28:I28"/>
    <mergeCell ref="B29:F29"/>
    <mergeCell ref="G29:I29"/>
  </mergeCells>
  <conditionalFormatting sqref="H9:H23">
    <cfRule type="cellIs" dxfId="14" priority="1" operator="lessThan">
      <formula>5</formula>
    </cfRule>
    <cfRule type="cellIs" dxfId="13" priority="2" operator="greaterThanOrEqual">
      <formula>8</formula>
    </cfRule>
  </conditionalFormatting>
  <dataValidations count="1">
    <dataValidation type="list" allowBlank="1" showErrorMessage="1" errorTitle="Puntaje" error="Elegí un número del 1 al 5." sqref="F9:G23" xr:uid="{00000000-0002-0000-0400-000000000000}">
      <formula1>"1,2,3,4,5"</formula1>
    </dataValidation>
  </dataValidations>
  <pageMargins left="0.75" right="0.75" top="1" bottom="1"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A8C7E"/>
  </sheetPr>
  <dimension ref="A1:Z1000"/>
  <sheetViews>
    <sheetView showGridLines="0" workbookViewId="0"/>
  </sheetViews>
  <sheetFormatPr baseColWidth="10" defaultColWidth="12.59765625" defaultRowHeight="15" customHeight="1"/>
  <cols>
    <col min="1" max="1" width="2" customWidth="1"/>
    <col min="2" max="2" width="5" customWidth="1"/>
    <col min="3" max="3" width="8" customWidth="1"/>
    <col min="4" max="4" width="23" customWidth="1"/>
    <col min="5" max="5" width="17.8984375" customWidth="1"/>
    <col min="6" max="6" width="13" customWidth="1"/>
    <col min="7" max="7" width="17.09765625" customWidth="1"/>
    <col min="8" max="8" width="16.8984375" customWidth="1"/>
    <col min="9" max="9" width="12.19921875" customWidth="1"/>
    <col min="10" max="10" width="4" customWidth="1"/>
    <col min="11" max="22" width="8.69921875" customWidth="1"/>
    <col min="23" max="26" width="14.3984375" customWidth="1"/>
  </cols>
  <sheetData>
    <row r="1" spans="1:26" ht="6" customHeight="1">
      <c r="A1" s="7"/>
      <c r="B1" s="7"/>
      <c r="C1" s="7"/>
      <c r="D1" s="7"/>
      <c r="E1" s="7"/>
      <c r="F1" s="7"/>
      <c r="G1" s="7"/>
      <c r="H1" s="7"/>
      <c r="I1" s="7"/>
      <c r="J1" s="7"/>
      <c r="K1" s="7"/>
      <c r="L1" s="7"/>
      <c r="M1" s="7"/>
      <c r="N1" s="7"/>
      <c r="O1" s="7"/>
      <c r="P1" s="7"/>
      <c r="Q1" s="7"/>
      <c r="R1" s="7"/>
      <c r="S1" s="7"/>
      <c r="T1" s="7"/>
      <c r="U1" s="7"/>
      <c r="V1" s="7"/>
      <c r="W1" s="6"/>
      <c r="X1" s="6"/>
      <c r="Y1" s="6"/>
      <c r="Z1" s="6"/>
    </row>
    <row r="2" spans="1:26" ht="21.75" customHeight="1">
      <c r="A2" s="7"/>
      <c r="B2" s="118" t="s">
        <v>212</v>
      </c>
      <c r="C2" s="88"/>
      <c r="D2" s="88"/>
      <c r="E2" s="88"/>
      <c r="F2" s="88"/>
      <c r="G2" s="119" t="s">
        <v>274</v>
      </c>
      <c r="H2" s="109"/>
      <c r="I2" s="109"/>
      <c r="J2" s="109"/>
      <c r="K2" s="109"/>
      <c r="L2" s="109"/>
      <c r="M2" s="109"/>
      <c r="N2" s="109"/>
      <c r="O2" s="109"/>
      <c r="P2" s="109"/>
      <c r="Q2" s="109"/>
      <c r="R2" s="109"/>
      <c r="S2" s="109"/>
      <c r="T2" s="109"/>
      <c r="U2" s="7"/>
      <c r="V2" s="7"/>
      <c r="W2" s="6"/>
      <c r="X2" s="6"/>
      <c r="Y2" s="6"/>
      <c r="Z2" s="6"/>
    </row>
    <row r="3" spans="1:26" ht="15.75" customHeight="1">
      <c r="A3" s="7"/>
      <c r="B3" s="87" t="s">
        <v>275</v>
      </c>
      <c r="C3" s="88"/>
      <c r="D3" s="88"/>
      <c r="E3" s="88"/>
      <c r="F3" s="88"/>
      <c r="G3" s="110"/>
      <c r="H3" s="111"/>
      <c r="I3" s="111"/>
      <c r="J3" s="111"/>
      <c r="K3" s="111"/>
      <c r="L3" s="111"/>
      <c r="M3" s="111"/>
      <c r="N3" s="111"/>
      <c r="O3" s="111"/>
      <c r="P3" s="111"/>
      <c r="Q3" s="111"/>
      <c r="R3" s="111"/>
      <c r="S3" s="111"/>
      <c r="T3" s="111"/>
      <c r="U3" s="7"/>
      <c r="V3" s="7"/>
      <c r="W3" s="6"/>
      <c r="X3" s="6"/>
      <c r="Y3" s="6"/>
      <c r="Z3" s="6"/>
    </row>
    <row r="4" spans="1:26" ht="6" customHeight="1">
      <c r="A4" s="7"/>
      <c r="B4" s="7"/>
      <c r="C4" s="7"/>
      <c r="D4" s="7"/>
      <c r="E4" s="7"/>
      <c r="F4" s="7"/>
      <c r="G4" s="110"/>
      <c r="H4" s="111"/>
      <c r="I4" s="111"/>
      <c r="J4" s="111"/>
      <c r="K4" s="111"/>
      <c r="L4" s="111"/>
      <c r="M4" s="111"/>
      <c r="N4" s="111"/>
      <c r="O4" s="111"/>
      <c r="P4" s="111"/>
      <c r="Q4" s="111"/>
      <c r="R4" s="111"/>
      <c r="S4" s="111"/>
      <c r="T4" s="111"/>
      <c r="U4" s="1"/>
      <c r="V4" s="1"/>
      <c r="W4" s="6"/>
      <c r="X4" s="6"/>
      <c r="Y4" s="6"/>
      <c r="Z4" s="6"/>
    </row>
    <row r="5" spans="1:26" ht="33" customHeight="1">
      <c r="A5" s="7"/>
      <c r="B5" s="7"/>
      <c r="C5" s="7"/>
      <c r="D5" s="7"/>
      <c r="E5" s="7"/>
      <c r="F5" s="7"/>
      <c r="G5" s="110"/>
      <c r="H5" s="111"/>
      <c r="I5" s="111"/>
      <c r="J5" s="111"/>
      <c r="K5" s="111"/>
      <c r="L5" s="111"/>
      <c r="M5" s="111"/>
      <c r="N5" s="111"/>
      <c r="O5" s="111"/>
      <c r="P5" s="111"/>
      <c r="Q5" s="111"/>
      <c r="R5" s="111"/>
      <c r="S5" s="111"/>
      <c r="T5" s="111"/>
      <c r="U5" s="7"/>
      <c r="V5" s="7"/>
      <c r="W5" s="6"/>
      <c r="X5" s="6"/>
      <c r="Y5" s="6"/>
      <c r="Z5" s="6"/>
    </row>
    <row r="6" spans="1:26" ht="11.25" customHeight="1">
      <c r="A6" s="16"/>
      <c r="B6" s="17"/>
      <c r="C6" s="17"/>
      <c r="D6" s="17"/>
      <c r="E6" s="17"/>
      <c r="F6" s="17"/>
      <c r="G6" s="17"/>
      <c r="H6" s="17"/>
      <c r="I6" s="17"/>
      <c r="J6" s="17"/>
      <c r="K6" s="17"/>
      <c r="L6" s="17"/>
      <c r="M6" s="17"/>
      <c r="N6" s="17"/>
      <c r="O6" s="17"/>
      <c r="P6" s="16"/>
      <c r="Q6" s="16"/>
      <c r="R6" s="16"/>
      <c r="S6" s="16"/>
      <c r="T6" s="16"/>
      <c r="U6" s="16"/>
      <c r="V6" s="16"/>
      <c r="W6" s="58"/>
      <c r="X6" s="58"/>
      <c r="Y6" s="6"/>
      <c r="Z6" s="6"/>
    </row>
    <row r="7" spans="1:26" ht="21.75" customHeight="1">
      <c r="A7" s="16"/>
      <c r="B7" s="129" t="s">
        <v>276</v>
      </c>
      <c r="C7" s="88"/>
      <c r="D7" s="88"/>
      <c r="E7" s="88"/>
      <c r="F7" s="88"/>
      <c r="G7" s="88"/>
      <c r="H7" s="88"/>
      <c r="I7" s="88"/>
      <c r="J7" s="16"/>
      <c r="K7" s="16"/>
      <c r="L7" s="16"/>
      <c r="M7" s="16"/>
      <c r="N7" s="16"/>
      <c r="O7" s="16"/>
      <c r="P7" s="16"/>
      <c r="Q7" s="16"/>
      <c r="R7" s="16"/>
      <c r="S7" s="16"/>
      <c r="T7" s="16"/>
      <c r="U7" s="16"/>
      <c r="V7" s="16"/>
      <c r="W7" s="6"/>
      <c r="X7" s="6"/>
      <c r="Y7" s="16" t="s">
        <v>146</v>
      </c>
      <c r="Z7" s="16" t="s">
        <v>151</v>
      </c>
    </row>
    <row r="8" spans="1:26" ht="21.75" customHeight="1">
      <c r="A8" s="16"/>
      <c r="B8" s="31" t="s">
        <v>181</v>
      </c>
      <c r="C8" s="31" t="s">
        <v>184</v>
      </c>
      <c r="D8" s="31" t="s">
        <v>154</v>
      </c>
      <c r="E8" s="31" t="s">
        <v>146</v>
      </c>
      <c r="F8" s="31" t="s">
        <v>183</v>
      </c>
      <c r="G8" s="31" t="s">
        <v>185</v>
      </c>
      <c r="H8" s="31" t="s">
        <v>213</v>
      </c>
      <c r="I8" s="31" t="s">
        <v>155</v>
      </c>
      <c r="J8" s="16"/>
      <c r="K8" s="16"/>
      <c r="L8" s="16"/>
      <c r="M8" s="16"/>
      <c r="N8" s="16"/>
      <c r="O8" s="16"/>
      <c r="P8" s="59" t="s">
        <v>184</v>
      </c>
      <c r="Q8" s="59" t="s">
        <v>151</v>
      </c>
      <c r="R8" s="16"/>
      <c r="S8" s="16"/>
      <c r="T8" s="16"/>
      <c r="U8" s="16"/>
      <c r="V8" s="16"/>
      <c r="W8" s="6"/>
      <c r="X8" s="6"/>
      <c r="Y8" s="16" t="str">
        <f>'🔁 Pagos Fijos'!C40</f>
        <v>Deporte</v>
      </c>
      <c r="Z8" s="16">
        <f>'🔁 Pagos Fijos'!D40</f>
        <v>0</v>
      </c>
    </row>
    <row r="9" spans="1:26" ht="18.75" customHeight="1">
      <c r="A9" s="16"/>
      <c r="B9" s="48">
        <v>1</v>
      </c>
      <c r="C9" s="60">
        <f>IFERROR(VALUE('🔁 Pagos Fijos'!F9),"")</f>
        <v>0</v>
      </c>
      <c r="D9" s="18">
        <f>'🔁 Pagos Fijos'!C9</f>
        <v>0</v>
      </c>
      <c r="E9" s="61">
        <f>'🔁 Pagos Fijos'!D9</f>
        <v>0</v>
      </c>
      <c r="F9" s="48">
        <f>'🔁 Pagos Fijos'!E9</f>
        <v>0</v>
      </c>
      <c r="G9" s="51">
        <f>IFERROR(IF(OR('🔁 Pagos Fijos'!J9="Activo",'🔁 Pagos Fijos'!J9=""),'🔁 Pagos Fijos'!G9,0),0)</f>
        <v>0</v>
      </c>
      <c r="H9" s="61">
        <f>'🔁 Pagos Fijos'!I9</f>
        <v>0</v>
      </c>
      <c r="I9" s="48">
        <f>'🔁 Pagos Fijos'!J9</f>
        <v>0</v>
      </c>
      <c r="J9" s="16"/>
      <c r="K9" s="16"/>
      <c r="L9" s="16"/>
      <c r="M9" s="16"/>
      <c r="N9" s="16"/>
      <c r="O9" s="16"/>
      <c r="P9" s="59">
        <v>1</v>
      </c>
      <c r="Q9" s="59">
        <f>SUMIFS('🔁 Pagos Fijos'!$H$9:$H$33,'🔁 Pagos Fijos'!$F$9:$F$33,P9)/12</f>
        <v>0</v>
      </c>
      <c r="R9" s="16"/>
      <c r="S9" s="16"/>
      <c r="T9" s="16"/>
      <c r="U9" s="16"/>
      <c r="V9" s="16"/>
      <c r="W9" s="6"/>
      <c r="X9" s="6"/>
      <c r="Y9" s="16" t="str">
        <f>'🔁 Pagos Fijos'!C41</f>
        <v>Hogar</v>
      </c>
      <c r="Z9" s="16">
        <f>'🔁 Pagos Fijos'!D41</f>
        <v>0</v>
      </c>
    </row>
    <row r="10" spans="1:26" ht="18.75" customHeight="1">
      <c r="A10" s="16"/>
      <c r="B10" s="48">
        <v>2</v>
      </c>
      <c r="C10" s="60">
        <f>IFERROR(VALUE('🔁 Pagos Fijos'!F10),"")</f>
        <v>0</v>
      </c>
      <c r="D10" s="18">
        <f>'🔁 Pagos Fijos'!C10</f>
        <v>0</v>
      </c>
      <c r="E10" s="61">
        <f>'🔁 Pagos Fijos'!D10</f>
        <v>0</v>
      </c>
      <c r="F10" s="48">
        <f>'🔁 Pagos Fijos'!E10</f>
        <v>0</v>
      </c>
      <c r="G10" s="51">
        <f>IFERROR(IF(OR('🔁 Pagos Fijos'!J10="Activo",'🔁 Pagos Fijos'!J10=""),'🔁 Pagos Fijos'!G10,0),0)</f>
        <v>0</v>
      </c>
      <c r="H10" s="61">
        <f>'🔁 Pagos Fijos'!I10</f>
        <v>0</v>
      </c>
      <c r="I10" s="48">
        <f>'🔁 Pagos Fijos'!J10</f>
        <v>0</v>
      </c>
      <c r="J10" s="16"/>
      <c r="K10" s="16"/>
      <c r="L10" s="16"/>
      <c r="M10" s="16"/>
      <c r="N10" s="16"/>
      <c r="O10" s="16"/>
      <c r="P10" s="59">
        <v>2</v>
      </c>
      <c r="Q10" s="59">
        <f>SUMIFS('🔁 Pagos Fijos'!$H$9:$H$33,'🔁 Pagos Fijos'!$F$9:$F$33,P10)/12</f>
        <v>0</v>
      </c>
      <c r="R10" s="16"/>
      <c r="S10" s="16"/>
      <c r="T10" s="16"/>
      <c r="U10" s="16"/>
      <c r="V10" s="16"/>
      <c r="W10" s="6"/>
      <c r="X10" s="6"/>
      <c r="Y10" s="16" t="str">
        <f>'🔁 Pagos Fijos'!C42</f>
        <v>Suscripciones</v>
      </c>
      <c r="Z10" s="16">
        <f>'🔁 Pagos Fijos'!D42</f>
        <v>0</v>
      </c>
    </row>
    <row r="11" spans="1:26" ht="18.75" customHeight="1">
      <c r="A11" s="16"/>
      <c r="B11" s="48">
        <v>3</v>
      </c>
      <c r="C11" s="60">
        <f>IFERROR(VALUE('🔁 Pagos Fijos'!F11),"")</f>
        <v>0</v>
      </c>
      <c r="D11" s="18">
        <f>'🔁 Pagos Fijos'!C11</f>
        <v>0</v>
      </c>
      <c r="E11" s="61">
        <f>'🔁 Pagos Fijos'!D11</f>
        <v>0</v>
      </c>
      <c r="F11" s="48">
        <f>'🔁 Pagos Fijos'!E11</f>
        <v>0</v>
      </c>
      <c r="G11" s="51">
        <f>IFERROR(IF(OR('🔁 Pagos Fijos'!J11="Activo",'🔁 Pagos Fijos'!J11=""),'🔁 Pagos Fijos'!G11,0),0)</f>
        <v>0</v>
      </c>
      <c r="H11" s="61">
        <f>'🔁 Pagos Fijos'!I11</f>
        <v>0</v>
      </c>
      <c r="I11" s="48">
        <f>'🔁 Pagos Fijos'!J11</f>
        <v>0</v>
      </c>
      <c r="J11" s="16"/>
      <c r="K11" s="16"/>
      <c r="L11" s="16"/>
      <c r="M11" s="16"/>
      <c r="N11" s="16"/>
      <c r="O11" s="16"/>
      <c r="P11" s="59">
        <v>3</v>
      </c>
      <c r="Q11" s="59">
        <f>SUMIFS('🔁 Pagos Fijos'!$H$9:$H$33,'🔁 Pagos Fijos'!$F$9:$F$33,P11)/12</f>
        <v>0</v>
      </c>
      <c r="R11" s="16"/>
      <c r="S11" s="16"/>
      <c r="T11" s="16"/>
      <c r="U11" s="16"/>
      <c r="V11" s="16"/>
      <c r="W11" s="6"/>
      <c r="X11" s="6"/>
      <c r="Y11" s="16" t="str">
        <f>'🔁 Pagos Fijos'!C43</f>
        <v>Seguros</v>
      </c>
      <c r="Z11" s="16">
        <f>'🔁 Pagos Fijos'!D43</f>
        <v>0</v>
      </c>
    </row>
    <row r="12" spans="1:26" ht="18.75" customHeight="1">
      <c r="A12" s="16"/>
      <c r="B12" s="48">
        <v>4</v>
      </c>
      <c r="C12" s="60">
        <f>IFERROR(VALUE('🔁 Pagos Fijos'!F12),"")</f>
        <v>0</v>
      </c>
      <c r="D12" s="18">
        <f>'🔁 Pagos Fijos'!C12</f>
        <v>0</v>
      </c>
      <c r="E12" s="61">
        <f>'🔁 Pagos Fijos'!D12</f>
        <v>0</v>
      </c>
      <c r="F12" s="48">
        <f>'🔁 Pagos Fijos'!E12</f>
        <v>0</v>
      </c>
      <c r="G12" s="51">
        <f>IFERROR(IF(OR('🔁 Pagos Fijos'!J12="Activo",'🔁 Pagos Fijos'!J12=""),'🔁 Pagos Fijos'!G12,0),0)</f>
        <v>0</v>
      </c>
      <c r="H12" s="61">
        <f>'🔁 Pagos Fijos'!I12</f>
        <v>0</v>
      </c>
      <c r="I12" s="48">
        <f>'🔁 Pagos Fijos'!J12</f>
        <v>0</v>
      </c>
      <c r="J12" s="16"/>
      <c r="K12" s="16"/>
      <c r="L12" s="16"/>
      <c r="M12" s="16"/>
      <c r="N12" s="16"/>
      <c r="O12" s="16"/>
      <c r="P12" s="59">
        <v>4</v>
      </c>
      <c r="Q12" s="59">
        <f>SUMIFS('🔁 Pagos Fijos'!$H$9:$H$33,'🔁 Pagos Fijos'!$F$9:$F$33,P12)/12</f>
        <v>0</v>
      </c>
      <c r="R12" s="16"/>
      <c r="S12" s="16"/>
      <c r="T12" s="16"/>
      <c r="U12" s="16"/>
      <c r="V12" s="16"/>
      <c r="W12" s="6"/>
      <c r="X12" s="6"/>
      <c r="Y12" s="16" t="str">
        <f>'🔁 Pagos Fijos'!C44</f>
        <v>Salud</v>
      </c>
      <c r="Z12" s="16">
        <f>'🔁 Pagos Fijos'!D44</f>
        <v>0</v>
      </c>
    </row>
    <row r="13" spans="1:26" ht="18.75" customHeight="1">
      <c r="A13" s="16"/>
      <c r="B13" s="48">
        <v>5</v>
      </c>
      <c r="C13" s="60">
        <f>IFERROR(VALUE('🔁 Pagos Fijos'!F13),"")</f>
        <v>0</v>
      </c>
      <c r="D13" s="18">
        <f>'🔁 Pagos Fijos'!C13</f>
        <v>0</v>
      </c>
      <c r="E13" s="61">
        <f>'🔁 Pagos Fijos'!D13</f>
        <v>0</v>
      </c>
      <c r="F13" s="48">
        <f>'🔁 Pagos Fijos'!E13</f>
        <v>0</v>
      </c>
      <c r="G13" s="51">
        <f>IFERROR(IF(OR('🔁 Pagos Fijos'!J13="Activo",'🔁 Pagos Fijos'!J13=""),'🔁 Pagos Fijos'!G13,0),0)</f>
        <v>0</v>
      </c>
      <c r="H13" s="61">
        <f>'🔁 Pagos Fijos'!I13</f>
        <v>0</v>
      </c>
      <c r="I13" s="48">
        <f>'🔁 Pagos Fijos'!J13</f>
        <v>0</v>
      </c>
      <c r="J13" s="16"/>
      <c r="K13" s="16"/>
      <c r="L13" s="16"/>
      <c r="M13" s="16"/>
      <c r="N13" s="16"/>
      <c r="O13" s="16"/>
      <c r="P13" s="59">
        <v>5</v>
      </c>
      <c r="Q13" s="59">
        <f>SUMIFS('🔁 Pagos Fijos'!$H$9:$H$33,'🔁 Pagos Fijos'!$F$9:$F$33,P13)/12</f>
        <v>0</v>
      </c>
      <c r="R13" s="16"/>
      <c r="S13" s="16"/>
      <c r="T13" s="16"/>
      <c r="U13" s="16"/>
      <c r="V13" s="16"/>
      <c r="W13" s="6"/>
      <c r="X13" s="6"/>
      <c r="Y13" s="16" t="str">
        <f>'🔁 Pagos Fijos'!C45</f>
        <v>Internet y Celular</v>
      </c>
      <c r="Z13" s="16">
        <f>'🔁 Pagos Fijos'!D45</f>
        <v>0</v>
      </c>
    </row>
    <row r="14" spans="1:26" ht="18.75" customHeight="1">
      <c r="A14" s="16"/>
      <c r="B14" s="48">
        <v>6</v>
      </c>
      <c r="C14" s="60">
        <f>IFERROR(VALUE('🔁 Pagos Fijos'!F14),"")</f>
        <v>0</v>
      </c>
      <c r="D14" s="18">
        <f>'🔁 Pagos Fijos'!C14</f>
        <v>0</v>
      </c>
      <c r="E14" s="61">
        <f>'🔁 Pagos Fijos'!D14</f>
        <v>0</v>
      </c>
      <c r="F14" s="48">
        <f>'🔁 Pagos Fijos'!E14</f>
        <v>0</v>
      </c>
      <c r="G14" s="51">
        <f>IFERROR(IF(OR('🔁 Pagos Fijos'!J14="Activo",'🔁 Pagos Fijos'!J14=""),'🔁 Pagos Fijos'!G14,0),0)</f>
        <v>0</v>
      </c>
      <c r="H14" s="61">
        <f>'🔁 Pagos Fijos'!I14</f>
        <v>0</v>
      </c>
      <c r="I14" s="48">
        <f>'🔁 Pagos Fijos'!J14</f>
        <v>0</v>
      </c>
      <c r="J14" s="16"/>
      <c r="K14" s="16"/>
      <c r="L14" s="16"/>
      <c r="M14" s="16"/>
      <c r="N14" s="16"/>
      <c r="O14" s="16"/>
      <c r="P14" s="59">
        <v>6</v>
      </c>
      <c r="Q14" s="59">
        <f>SUMIFS('🔁 Pagos Fijos'!$H$9:$H$33,'🔁 Pagos Fijos'!$F$9:$F$33,P14)/12</f>
        <v>0</v>
      </c>
      <c r="R14" s="16"/>
      <c r="S14" s="16"/>
      <c r="T14" s="16"/>
      <c r="U14" s="16"/>
      <c r="V14" s="16"/>
      <c r="W14" s="6"/>
      <c r="X14" s="6"/>
      <c r="Y14" s="16" t="str">
        <f>'🔁 Pagos Fijos'!C46</f>
        <v>Servicios</v>
      </c>
      <c r="Z14" s="16">
        <f>'🔁 Pagos Fijos'!D46</f>
        <v>0</v>
      </c>
    </row>
    <row r="15" spans="1:26" ht="18.75" customHeight="1">
      <c r="A15" s="16"/>
      <c r="B15" s="48">
        <v>7</v>
      </c>
      <c r="C15" s="60">
        <f>IFERROR(VALUE('🔁 Pagos Fijos'!F15),"")</f>
        <v>0</v>
      </c>
      <c r="D15" s="18">
        <f>'🔁 Pagos Fijos'!C15</f>
        <v>0</v>
      </c>
      <c r="E15" s="61">
        <f>'🔁 Pagos Fijos'!D15</f>
        <v>0</v>
      </c>
      <c r="F15" s="48">
        <f>'🔁 Pagos Fijos'!E15</f>
        <v>0</v>
      </c>
      <c r="G15" s="51">
        <f>IFERROR(IF(OR('🔁 Pagos Fijos'!J15="Activo",'🔁 Pagos Fijos'!J15=""),'🔁 Pagos Fijos'!G15,0),0)</f>
        <v>0</v>
      </c>
      <c r="H15" s="61">
        <f>'🔁 Pagos Fijos'!I15</f>
        <v>0</v>
      </c>
      <c r="I15" s="48">
        <f>'🔁 Pagos Fijos'!J15</f>
        <v>0</v>
      </c>
      <c r="J15" s="16"/>
      <c r="K15" s="16"/>
      <c r="L15" s="16"/>
      <c r="M15" s="16"/>
      <c r="N15" s="16"/>
      <c r="O15" s="16"/>
      <c r="P15" s="59">
        <v>7</v>
      </c>
      <c r="Q15" s="59">
        <f>SUMIFS('🔁 Pagos Fijos'!$H$9:$H$33,'🔁 Pagos Fijos'!$F$9:$F$33,P15)/12</f>
        <v>0</v>
      </c>
      <c r="R15" s="16"/>
      <c r="S15" s="16"/>
      <c r="T15" s="16"/>
      <c r="U15" s="16"/>
      <c r="V15" s="16"/>
      <c r="W15" s="6"/>
      <c r="X15" s="6"/>
      <c r="Y15" s="16" t="str">
        <f>'🔁 Pagos Fijos'!C47</f>
        <v>Impuestos</v>
      </c>
      <c r="Z15" s="16">
        <f>'🔁 Pagos Fijos'!D47</f>
        <v>0</v>
      </c>
    </row>
    <row r="16" spans="1:26" ht="18.75" customHeight="1">
      <c r="A16" s="16"/>
      <c r="B16" s="48">
        <v>8</v>
      </c>
      <c r="C16" s="60">
        <f>IFERROR(VALUE('🔁 Pagos Fijos'!F16),"")</f>
        <v>0</v>
      </c>
      <c r="D16" s="18">
        <f>'🔁 Pagos Fijos'!C16</f>
        <v>0</v>
      </c>
      <c r="E16" s="61">
        <f>'🔁 Pagos Fijos'!D16</f>
        <v>0</v>
      </c>
      <c r="F16" s="48">
        <f>'🔁 Pagos Fijos'!E16</f>
        <v>0</v>
      </c>
      <c r="G16" s="51">
        <f>IFERROR(IF(OR('🔁 Pagos Fijos'!J16="Activo",'🔁 Pagos Fijos'!J16=""),'🔁 Pagos Fijos'!G16,0),0)</f>
        <v>0</v>
      </c>
      <c r="H16" s="61">
        <f>'🔁 Pagos Fijos'!I16</f>
        <v>0</v>
      </c>
      <c r="I16" s="48">
        <f>'🔁 Pagos Fijos'!J16</f>
        <v>0</v>
      </c>
      <c r="J16" s="16"/>
      <c r="K16" s="16"/>
      <c r="L16" s="16"/>
      <c r="M16" s="16"/>
      <c r="N16" s="16"/>
      <c r="O16" s="16"/>
      <c r="P16" s="59">
        <v>8</v>
      </c>
      <c r="Q16" s="59">
        <f>SUMIFS('🔁 Pagos Fijos'!$H$9:$H$33,'🔁 Pagos Fijos'!$F$9:$F$33,P16)/12</f>
        <v>0</v>
      </c>
      <c r="R16" s="16"/>
      <c r="S16" s="16"/>
      <c r="T16" s="16"/>
      <c r="U16" s="16"/>
      <c r="V16" s="16"/>
      <c r="W16" s="6"/>
      <c r="X16" s="6"/>
      <c r="Y16" s="16"/>
      <c r="Z16" s="16"/>
    </row>
    <row r="17" spans="1:26" ht="18.75" customHeight="1">
      <c r="A17" s="16"/>
      <c r="B17" s="48">
        <v>9</v>
      </c>
      <c r="C17" s="60">
        <f>IFERROR(VALUE('🔁 Pagos Fijos'!F17),"")</f>
        <v>0</v>
      </c>
      <c r="D17" s="18">
        <f>'🔁 Pagos Fijos'!C17</f>
        <v>0</v>
      </c>
      <c r="E17" s="61">
        <f>'🔁 Pagos Fijos'!D17</f>
        <v>0</v>
      </c>
      <c r="F17" s="48">
        <f>'🔁 Pagos Fijos'!E17</f>
        <v>0</v>
      </c>
      <c r="G17" s="51">
        <f>IFERROR(IF(OR('🔁 Pagos Fijos'!J17="Activo",'🔁 Pagos Fijos'!J17=""),'🔁 Pagos Fijos'!G17,0),0)</f>
        <v>0</v>
      </c>
      <c r="H17" s="61">
        <f>'🔁 Pagos Fijos'!I17</f>
        <v>0</v>
      </c>
      <c r="I17" s="48">
        <f>'🔁 Pagos Fijos'!J17</f>
        <v>0</v>
      </c>
      <c r="J17" s="16"/>
      <c r="K17" s="16"/>
      <c r="L17" s="16"/>
      <c r="M17" s="16"/>
      <c r="N17" s="16"/>
      <c r="O17" s="16"/>
      <c r="P17" s="59">
        <v>9</v>
      </c>
      <c r="Q17" s="59">
        <f>SUMIFS('🔁 Pagos Fijos'!$H$9:$H$33,'🔁 Pagos Fijos'!$F$9:$F$33,P17)/12</f>
        <v>0</v>
      </c>
      <c r="R17" s="16"/>
      <c r="S17" s="16"/>
      <c r="T17" s="16"/>
      <c r="U17" s="16"/>
      <c r="V17" s="16"/>
      <c r="W17" s="6"/>
      <c r="X17" s="6"/>
      <c r="Y17" s="16"/>
      <c r="Z17" s="16"/>
    </row>
    <row r="18" spans="1:26" ht="18.75" customHeight="1">
      <c r="A18" s="16"/>
      <c r="B18" s="48">
        <v>10</v>
      </c>
      <c r="C18" s="60">
        <f>IFERROR(VALUE('🔁 Pagos Fijos'!F18),"")</f>
        <v>0</v>
      </c>
      <c r="D18" s="18">
        <f>'🔁 Pagos Fijos'!C18</f>
        <v>0</v>
      </c>
      <c r="E18" s="61">
        <f>'🔁 Pagos Fijos'!D18</f>
        <v>0</v>
      </c>
      <c r="F18" s="48">
        <f>'🔁 Pagos Fijos'!E18</f>
        <v>0</v>
      </c>
      <c r="G18" s="51">
        <f>IFERROR(IF(OR('🔁 Pagos Fijos'!J18="Activo",'🔁 Pagos Fijos'!J18=""),'🔁 Pagos Fijos'!G18,0),0)</f>
        <v>0</v>
      </c>
      <c r="H18" s="61">
        <f>'🔁 Pagos Fijos'!I18</f>
        <v>0</v>
      </c>
      <c r="I18" s="48">
        <f>'🔁 Pagos Fijos'!J18</f>
        <v>0</v>
      </c>
      <c r="J18" s="16"/>
      <c r="K18" s="16"/>
      <c r="L18" s="16"/>
      <c r="M18" s="16"/>
      <c r="N18" s="16"/>
      <c r="O18" s="16"/>
      <c r="P18" s="59">
        <v>10</v>
      </c>
      <c r="Q18" s="59">
        <f>SUMIFS('🔁 Pagos Fijos'!$H$9:$H$33,'🔁 Pagos Fijos'!$F$9:$F$33,P18)/12</f>
        <v>0</v>
      </c>
      <c r="R18" s="16"/>
      <c r="S18" s="16"/>
      <c r="T18" s="16"/>
      <c r="U18" s="16"/>
      <c r="V18" s="16"/>
      <c r="W18" s="6"/>
      <c r="X18" s="6"/>
      <c r="Y18" s="16"/>
      <c r="Z18" s="16"/>
    </row>
    <row r="19" spans="1:26" ht="18.75" customHeight="1">
      <c r="A19" s="16"/>
      <c r="B19" s="48">
        <v>11</v>
      </c>
      <c r="C19" s="60">
        <f>IFERROR(VALUE('🔁 Pagos Fijos'!F19),"")</f>
        <v>0</v>
      </c>
      <c r="D19" s="18">
        <f>'🔁 Pagos Fijos'!C19</f>
        <v>0</v>
      </c>
      <c r="E19" s="61">
        <f>'🔁 Pagos Fijos'!D19</f>
        <v>0</v>
      </c>
      <c r="F19" s="48">
        <f>'🔁 Pagos Fijos'!E19</f>
        <v>0</v>
      </c>
      <c r="G19" s="51">
        <f>IFERROR(IF(OR('🔁 Pagos Fijos'!J19="Activo",'🔁 Pagos Fijos'!J19=""),'🔁 Pagos Fijos'!G19,0),0)</f>
        <v>0</v>
      </c>
      <c r="H19" s="61">
        <f>'🔁 Pagos Fijos'!I19</f>
        <v>0</v>
      </c>
      <c r="I19" s="48">
        <f>'🔁 Pagos Fijos'!J19</f>
        <v>0</v>
      </c>
      <c r="J19" s="16"/>
      <c r="K19" s="16"/>
      <c r="L19" s="16"/>
      <c r="M19" s="16"/>
      <c r="N19" s="16"/>
      <c r="O19" s="16"/>
      <c r="P19" s="59">
        <v>11</v>
      </c>
      <c r="Q19" s="59">
        <f>SUMIFS('🔁 Pagos Fijos'!$H$9:$H$33,'🔁 Pagos Fijos'!$F$9:$F$33,P19)/12</f>
        <v>0</v>
      </c>
      <c r="R19" s="16"/>
      <c r="S19" s="16"/>
      <c r="T19" s="16"/>
      <c r="U19" s="16"/>
      <c r="V19" s="16"/>
      <c r="W19" s="6"/>
      <c r="X19" s="6"/>
      <c r="Y19" s="16"/>
      <c r="Z19" s="16"/>
    </row>
    <row r="20" spans="1:26" ht="18.75" customHeight="1">
      <c r="A20" s="16"/>
      <c r="B20" s="48">
        <v>12</v>
      </c>
      <c r="C20" s="60">
        <f>IFERROR(VALUE('🔁 Pagos Fijos'!F20),"")</f>
        <v>0</v>
      </c>
      <c r="D20" s="18">
        <f>'🔁 Pagos Fijos'!C20</f>
        <v>0</v>
      </c>
      <c r="E20" s="61">
        <f>'🔁 Pagos Fijos'!D20</f>
        <v>0</v>
      </c>
      <c r="F20" s="48">
        <f>'🔁 Pagos Fijos'!E20</f>
        <v>0</v>
      </c>
      <c r="G20" s="51">
        <f>IFERROR(IF(OR('🔁 Pagos Fijos'!J20="Activo",'🔁 Pagos Fijos'!J20=""),'🔁 Pagos Fijos'!G20,0),0)</f>
        <v>0</v>
      </c>
      <c r="H20" s="61">
        <f>'🔁 Pagos Fijos'!I20</f>
        <v>0</v>
      </c>
      <c r="I20" s="48">
        <f>'🔁 Pagos Fijos'!J20</f>
        <v>0</v>
      </c>
      <c r="J20" s="16"/>
      <c r="K20" s="16"/>
      <c r="L20" s="16"/>
      <c r="M20" s="16"/>
      <c r="N20" s="16"/>
      <c r="O20" s="16"/>
      <c r="P20" s="59">
        <v>12</v>
      </c>
      <c r="Q20" s="59">
        <f>SUMIFS('🔁 Pagos Fijos'!$H$9:$H$33,'🔁 Pagos Fijos'!$F$9:$F$33,P20)/12</f>
        <v>0</v>
      </c>
      <c r="R20" s="16"/>
      <c r="S20" s="16"/>
      <c r="T20" s="16"/>
      <c r="U20" s="16"/>
      <c r="V20" s="16"/>
      <c r="W20" s="6"/>
      <c r="X20" s="6"/>
      <c r="Y20" s="16"/>
      <c r="Z20" s="16"/>
    </row>
    <row r="21" spans="1:26" ht="18.75" customHeight="1">
      <c r="A21" s="16"/>
      <c r="B21" s="48">
        <v>13</v>
      </c>
      <c r="C21" s="60">
        <f>IFERROR(VALUE('🔁 Pagos Fijos'!F21),"")</f>
        <v>0</v>
      </c>
      <c r="D21" s="18">
        <f>'🔁 Pagos Fijos'!C21</f>
        <v>0</v>
      </c>
      <c r="E21" s="61">
        <f>'🔁 Pagos Fijos'!D21</f>
        <v>0</v>
      </c>
      <c r="F21" s="48">
        <f>'🔁 Pagos Fijos'!E21</f>
        <v>0</v>
      </c>
      <c r="G21" s="51">
        <f>IFERROR(IF(OR('🔁 Pagos Fijos'!J21="Activo",'🔁 Pagos Fijos'!J21=""),'🔁 Pagos Fijos'!G21,0),0)</f>
        <v>0</v>
      </c>
      <c r="H21" s="61">
        <f>'🔁 Pagos Fijos'!I21</f>
        <v>0</v>
      </c>
      <c r="I21" s="48">
        <f>'🔁 Pagos Fijos'!J21</f>
        <v>0</v>
      </c>
      <c r="J21" s="16"/>
      <c r="K21" s="16"/>
      <c r="L21" s="16"/>
      <c r="M21" s="16"/>
      <c r="N21" s="16"/>
      <c r="O21" s="16"/>
      <c r="P21" s="59">
        <v>13</v>
      </c>
      <c r="Q21" s="59">
        <f>SUMIFS('🔁 Pagos Fijos'!$H$9:$H$33,'🔁 Pagos Fijos'!$F$9:$F$33,P21)/12</f>
        <v>0</v>
      </c>
      <c r="R21" s="16"/>
      <c r="S21" s="16"/>
      <c r="T21" s="16"/>
      <c r="U21" s="16"/>
      <c r="V21" s="16"/>
      <c r="W21" s="6"/>
      <c r="X21" s="6"/>
      <c r="Y21" s="16"/>
      <c r="Z21" s="16"/>
    </row>
    <row r="22" spans="1:26" ht="18.75" customHeight="1">
      <c r="A22" s="16"/>
      <c r="B22" s="48">
        <v>14</v>
      </c>
      <c r="C22" s="60">
        <f>IFERROR(VALUE('🔁 Pagos Fijos'!F22),"")</f>
        <v>0</v>
      </c>
      <c r="D22" s="18">
        <f>'🔁 Pagos Fijos'!C22</f>
        <v>0</v>
      </c>
      <c r="E22" s="61">
        <f>'🔁 Pagos Fijos'!D22</f>
        <v>0</v>
      </c>
      <c r="F22" s="48">
        <f>'🔁 Pagos Fijos'!E22</f>
        <v>0</v>
      </c>
      <c r="G22" s="51">
        <f>IFERROR(IF(OR('🔁 Pagos Fijos'!J22="Activo",'🔁 Pagos Fijos'!J22=""),'🔁 Pagos Fijos'!G22,0),0)</f>
        <v>0</v>
      </c>
      <c r="H22" s="61">
        <f>'🔁 Pagos Fijos'!I22</f>
        <v>0</v>
      </c>
      <c r="I22" s="48">
        <f>'🔁 Pagos Fijos'!J22</f>
        <v>0</v>
      </c>
      <c r="J22" s="16"/>
      <c r="K22" s="16"/>
      <c r="L22" s="16"/>
      <c r="M22" s="16"/>
      <c r="N22" s="16"/>
      <c r="O22" s="16"/>
      <c r="P22" s="59">
        <v>14</v>
      </c>
      <c r="Q22" s="59">
        <f>SUMIFS('🔁 Pagos Fijos'!$H$9:$H$33,'🔁 Pagos Fijos'!$F$9:$F$33,P22)/12</f>
        <v>0</v>
      </c>
      <c r="R22" s="16"/>
      <c r="S22" s="16"/>
      <c r="T22" s="16"/>
      <c r="U22" s="16"/>
      <c r="V22" s="16"/>
      <c r="W22" s="6"/>
      <c r="X22" s="6"/>
      <c r="Y22" s="16"/>
      <c r="Z22" s="16"/>
    </row>
    <row r="23" spans="1:26" ht="18.75" customHeight="1">
      <c r="A23" s="16"/>
      <c r="B23" s="48">
        <v>15</v>
      </c>
      <c r="C23" s="60">
        <f>IFERROR(VALUE('🔁 Pagos Fijos'!F23),"")</f>
        <v>0</v>
      </c>
      <c r="D23" s="18">
        <f>'🔁 Pagos Fijos'!C23</f>
        <v>0</v>
      </c>
      <c r="E23" s="61">
        <f>'🔁 Pagos Fijos'!D23</f>
        <v>0</v>
      </c>
      <c r="F23" s="48">
        <f>'🔁 Pagos Fijos'!E23</f>
        <v>0</v>
      </c>
      <c r="G23" s="51">
        <f>IFERROR(IF(OR('🔁 Pagos Fijos'!J23="Activo",'🔁 Pagos Fijos'!J23=""),'🔁 Pagos Fijos'!G23,0),0)</f>
        <v>0</v>
      </c>
      <c r="H23" s="61">
        <f>'🔁 Pagos Fijos'!I23</f>
        <v>0</v>
      </c>
      <c r="I23" s="48">
        <f>'🔁 Pagos Fijos'!J23</f>
        <v>0</v>
      </c>
      <c r="J23" s="16"/>
      <c r="K23" s="16"/>
      <c r="L23" s="16"/>
      <c r="M23" s="16"/>
      <c r="N23" s="16"/>
      <c r="O23" s="16"/>
      <c r="P23" s="59">
        <v>15</v>
      </c>
      <c r="Q23" s="59">
        <f>SUMIFS('🔁 Pagos Fijos'!$H$9:$H$33,'🔁 Pagos Fijos'!$F$9:$F$33,P23)/12</f>
        <v>0</v>
      </c>
      <c r="R23" s="16"/>
      <c r="S23" s="16"/>
      <c r="T23" s="16"/>
      <c r="U23" s="16"/>
      <c r="V23" s="16"/>
      <c r="W23" s="6"/>
      <c r="X23" s="6"/>
      <c r="Y23" s="16"/>
      <c r="Z23" s="16"/>
    </row>
    <row r="24" spans="1:26" ht="18.75" customHeight="1">
      <c r="A24" s="16"/>
      <c r="B24" s="48">
        <v>16</v>
      </c>
      <c r="C24" s="60">
        <f>IFERROR(VALUE('🔁 Pagos Fijos'!F24),"")</f>
        <v>0</v>
      </c>
      <c r="D24" s="18">
        <f>'🔁 Pagos Fijos'!C24</f>
        <v>0</v>
      </c>
      <c r="E24" s="61">
        <f>'🔁 Pagos Fijos'!D24</f>
        <v>0</v>
      </c>
      <c r="F24" s="48">
        <f>'🔁 Pagos Fijos'!E24</f>
        <v>0</v>
      </c>
      <c r="G24" s="51">
        <f>IFERROR(IF(OR('🔁 Pagos Fijos'!J24="Activo",'🔁 Pagos Fijos'!J24=""),'🔁 Pagos Fijos'!G24,0),0)</f>
        <v>0</v>
      </c>
      <c r="H24" s="61">
        <f>'🔁 Pagos Fijos'!I24</f>
        <v>0</v>
      </c>
      <c r="I24" s="48">
        <f>'🔁 Pagos Fijos'!J24</f>
        <v>0</v>
      </c>
      <c r="J24" s="16"/>
      <c r="K24" s="16"/>
      <c r="L24" s="16"/>
      <c r="M24" s="16"/>
      <c r="N24" s="16"/>
      <c r="O24" s="16"/>
      <c r="P24" s="59">
        <v>16</v>
      </c>
      <c r="Q24" s="59">
        <f>SUMIFS('🔁 Pagos Fijos'!$H$9:$H$33,'🔁 Pagos Fijos'!$F$9:$F$33,P24)/12</f>
        <v>0</v>
      </c>
      <c r="R24" s="16"/>
      <c r="S24" s="16"/>
      <c r="T24" s="16"/>
      <c r="U24" s="16"/>
      <c r="V24" s="16"/>
      <c r="W24" s="6"/>
      <c r="X24" s="6"/>
      <c r="Y24" s="16"/>
      <c r="Z24" s="16"/>
    </row>
    <row r="25" spans="1:26" ht="18.75" customHeight="1">
      <c r="A25" s="16"/>
      <c r="B25" s="48">
        <v>17</v>
      </c>
      <c r="C25" s="60">
        <f>IFERROR(VALUE('🔁 Pagos Fijos'!F25),"")</f>
        <v>0</v>
      </c>
      <c r="D25" s="18">
        <f>'🔁 Pagos Fijos'!C25</f>
        <v>0</v>
      </c>
      <c r="E25" s="61">
        <f>'🔁 Pagos Fijos'!D25</f>
        <v>0</v>
      </c>
      <c r="F25" s="48">
        <f>'🔁 Pagos Fijos'!E25</f>
        <v>0</v>
      </c>
      <c r="G25" s="51">
        <f>IFERROR(IF(OR('🔁 Pagos Fijos'!J25="Activo",'🔁 Pagos Fijos'!J25=""),'🔁 Pagos Fijos'!G25,0),0)</f>
        <v>0</v>
      </c>
      <c r="H25" s="61">
        <f>'🔁 Pagos Fijos'!I25</f>
        <v>0</v>
      </c>
      <c r="I25" s="48">
        <f>'🔁 Pagos Fijos'!J25</f>
        <v>0</v>
      </c>
      <c r="J25" s="16"/>
      <c r="K25" s="16"/>
      <c r="L25" s="16"/>
      <c r="M25" s="16"/>
      <c r="N25" s="16"/>
      <c r="O25" s="16"/>
      <c r="P25" s="59">
        <v>17</v>
      </c>
      <c r="Q25" s="59">
        <f>SUMIFS('🔁 Pagos Fijos'!$H$9:$H$33,'🔁 Pagos Fijos'!$F$9:$F$33,P25)/12</f>
        <v>0</v>
      </c>
      <c r="R25" s="16"/>
      <c r="S25" s="16"/>
      <c r="T25" s="16"/>
      <c r="U25" s="16"/>
      <c r="V25" s="16"/>
      <c r="W25" s="6"/>
      <c r="X25" s="6"/>
      <c r="Y25" s="16"/>
      <c r="Z25" s="16"/>
    </row>
    <row r="26" spans="1:26" ht="18.75" customHeight="1">
      <c r="A26" s="16"/>
      <c r="B26" s="48">
        <v>18</v>
      </c>
      <c r="C26" s="60">
        <f>IFERROR(VALUE('🔁 Pagos Fijos'!F26),"")</f>
        <v>0</v>
      </c>
      <c r="D26" s="18">
        <f>'🔁 Pagos Fijos'!C26</f>
        <v>0</v>
      </c>
      <c r="E26" s="61">
        <f>'🔁 Pagos Fijos'!D26</f>
        <v>0</v>
      </c>
      <c r="F26" s="48">
        <f>'🔁 Pagos Fijos'!E26</f>
        <v>0</v>
      </c>
      <c r="G26" s="51">
        <f>IFERROR(IF(OR('🔁 Pagos Fijos'!J26="Activo",'🔁 Pagos Fijos'!J26=""),'🔁 Pagos Fijos'!G26,0),0)</f>
        <v>0</v>
      </c>
      <c r="H26" s="61">
        <f>'🔁 Pagos Fijos'!I26</f>
        <v>0</v>
      </c>
      <c r="I26" s="48">
        <f>'🔁 Pagos Fijos'!J26</f>
        <v>0</v>
      </c>
      <c r="J26" s="16"/>
      <c r="K26" s="16"/>
      <c r="L26" s="16"/>
      <c r="M26" s="16"/>
      <c r="N26" s="16"/>
      <c r="O26" s="16"/>
      <c r="P26" s="59">
        <v>18</v>
      </c>
      <c r="Q26" s="59">
        <f>SUMIFS('🔁 Pagos Fijos'!$H$9:$H$33,'🔁 Pagos Fijos'!$F$9:$F$33,P26)/12</f>
        <v>0</v>
      </c>
      <c r="R26" s="16"/>
      <c r="S26" s="16"/>
      <c r="T26" s="16"/>
      <c r="U26" s="16"/>
      <c r="V26" s="16"/>
      <c r="W26" s="6"/>
      <c r="X26" s="6"/>
      <c r="Y26" s="16"/>
      <c r="Z26" s="16"/>
    </row>
    <row r="27" spans="1:26" ht="18.75" customHeight="1">
      <c r="A27" s="16"/>
      <c r="B27" s="48">
        <v>19</v>
      </c>
      <c r="C27" s="60">
        <f>IFERROR(VALUE('🔁 Pagos Fijos'!F27),"")</f>
        <v>0</v>
      </c>
      <c r="D27" s="18">
        <f>'🔁 Pagos Fijos'!C27</f>
        <v>0</v>
      </c>
      <c r="E27" s="61">
        <f>'🔁 Pagos Fijos'!D27</f>
        <v>0</v>
      </c>
      <c r="F27" s="48">
        <f>'🔁 Pagos Fijos'!E27</f>
        <v>0</v>
      </c>
      <c r="G27" s="51">
        <f>IFERROR(IF(OR('🔁 Pagos Fijos'!J27="Activo",'🔁 Pagos Fijos'!J27=""),'🔁 Pagos Fijos'!G27,0),0)</f>
        <v>0</v>
      </c>
      <c r="H27" s="61">
        <f>'🔁 Pagos Fijos'!I27</f>
        <v>0</v>
      </c>
      <c r="I27" s="48">
        <f>'🔁 Pagos Fijos'!J27</f>
        <v>0</v>
      </c>
      <c r="J27" s="16"/>
      <c r="K27" s="16"/>
      <c r="L27" s="16"/>
      <c r="M27" s="16"/>
      <c r="N27" s="16"/>
      <c r="O27" s="16"/>
      <c r="P27" s="59">
        <v>19</v>
      </c>
      <c r="Q27" s="59">
        <f>SUMIFS('🔁 Pagos Fijos'!$H$9:$H$33,'🔁 Pagos Fijos'!$F$9:$F$33,P27)/12</f>
        <v>0</v>
      </c>
      <c r="R27" s="16"/>
      <c r="S27" s="16"/>
      <c r="T27" s="16"/>
      <c r="U27" s="16"/>
      <c r="V27" s="16"/>
      <c r="W27" s="6"/>
      <c r="X27" s="6"/>
      <c r="Y27" s="16"/>
      <c r="Z27" s="16"/>
    </row>
    <row r="28" spans="1:26" ht="18.75" customHeight="1">
      <c r="A28" s="16"/>
      <c r="B28" s="48">
        <v>20</v>
      </c>
      <c r="C28" s="60">
        <f>IFERROR(VALUE('🔁 Pagos Fijos'!F28),"")</f>
        <v>0</v>
      </c>
      <c r="D28" s="18">
        <f>'🔁 Pagos Fijos'!C28</f>
        <v>0</v>
      </c>
      <c r="E28" s="61">
        <f>'🔁 Pagos Fijos'!D28</f>
        <v>0</v>
      </c>
      <c r="F28" s="48">
        <f>'🔁 Pagos Fijos'!E28</f>
        <v>0</v>
      </c>
      <c r="G28" s="51">
        <f>IFERROR(IF(OR('🔁 Pagos Fijos'!J28="Activo",'🔁 Pagos Fijos'!J28=""),'🔁 Pagos Fijos'!G28,0),0)</f>
        <v>0</v>
      </c>
      <c r="H28" s="61">
        <f>'🔁 Pagos Fijos'!I28</f>
        <v>0</v>
      </c>
      <c r="I28" s="48">
        <f>'🔁 Pagos Fijos'!J28</f>
        <v>0</v>
      </c>
      <c r="J28" s="16"/>
      <c r="K28" s="16"/>
      <c r="L28" s="16"/>
      <c r="M28" s="16"/>
      <c r="N28" s="16"/>
      <c r="O28" s="16"/>
      <c r="P28" s="59">
        <v>20</v>
      </c>
      <c r="Q28" s="59">
        <f>SUMIFS('🔁 Pagos Fijos'!$H$9:$H$33,'🔁 Pagos Fijos'!$F$9:$F$33,P28)/12</f>
        <v>0</v>
      </c>
      <c r="R28" s="16"/>
      <c r="S28" s="16"/>
      <c r="T28" s="16"/>
      <c r="U28" s="16"/>
      <c r="V28" s="16"/>
      <c r="W28" s="6"/>
      <c r="X28" s="6"/>
      <c r="Y28" s="16"/>
      <c r="Z28" s="16"/>
    </row>
    <row r="29" spans="1:26" ht="23.25" customHeight="1">
      <c r="A29" s="16"/>
      <c r="B29" s="130" t="s">
        <v>214</v>
      </c>
      <c r="C29" s="101"/>
      <c r="D29" s="101"/>
      <c r="E29" s="101"/>
      <c r="F29" s="102"/>
      <c r="G29" s="50">
        <f>'🔁 Pagos Fijos'!H35</f>
        <v>0</v>
      </c>
      <c r="H29" s="131"/>
      <c r="I29" s="102"/>
      <c r="J29" s="16"/>
      <c r="K29" s="16"/>
      <c r="L29" s="16"/>
      <c r="M29" s="16"/>
      <c r="N29" s="16"/>
      <c r="O29" s="16"/>
      <c r="P29" s="59">
        <v>21</v>
      </c>
      <c r="Q29" s="59">
        <f>SUMIFS('🔁 Pagos Fijos'!$H$9:$H$33,'🔁 Pagos Fijos'!$F$9:$F$33,P29)/12</f>
        <v>0</v>
      </c>
      <c r="R29" s="16"/>
      <c r="S29" s="16"/>
      <c r="T29" s="16"/>
      <c r="U29" s="16"/>
      <c r="V29" s="16"/>
      <c r="W29" s="6"/>
      <c r="X29" s="6"/>
      <c r="Y29" s="6"/>
      <c r="Z29" s="6"/>
    </row>
    <row r="30" spans="1:26" ht="13.5" customHeight="1">
      <c r="A30" s="16"/>
      <c r="B30" s="16"/>
      <c r="C30" s="16"/>
      <c r="D30" s="16"/>
      <c r="E30" s="16"/>
      <c r="F30" s="16"/>
      <c r="G30" s="16"/>
      <c r="H30" s="16"/>
      <c r="I30" s="16"/>
      <c r="J30" s="16"/>
      <c r="K30" s="16"/>
      <c r="L30" s="16"/>
      <c r="M30" s="16"/>
      <c r="N30" s="16"/>
      <c r="O30" s="16"/>
      <c r="P30" s="59">
        <v>22</v>
      </c>
      <c r="Q30" s="59">
        <f>SUMIFS('🔁 Pagos Fijos'!$H$9:$H$33,'🔁 Pagos Fijos'!$F$9:$F$33,P30)/12</f>
        <v>0</v>
      </c>
      <c r="R30" s="16"/>
      <c r="S30" s="16"/>
      <c r="T30" s="16"/>
      <c r="U30" s="16"/>
      <c r="V30" s="16"/>
      <c r="W30" s="6"/>
      <c r="X30" s="6"/>
      <c r="Y30" s="6"/>
      <c r="Z30" s="6"/>
    </row>
    <row r="31" spans="1:26" ht="21.75" customHeight="1">
      <c r="A31" s="16"/>
      <c r="B31" s="112" t="s">
        <v>277</v>
      </c>
      <c r="C31" s="88"/>
      <c r="D31" s="88"/>
      <c r="E31" s="88"/>
      <c r="F31" s="88"/>
      <c r="G31" s="88"/>
      <c r="H31" s="88"/>
      <c r="I31" s="88"/>
      <c r="J31" s="16"/>
      <c r="K31" s="16"/>
      <c r="L31" s="16"/>
      <c r="M31" s="16"/>
      <c r="N31" s="16"/>
      <c r="O31" s="16"/>
      <c r="P31" s="59">
        <v>23</v>
      </c>
      <c r="Q31" s="59">
        <f>SUMIFS('🔁 Pagos Fijos'!$H$9:$H$33,'🔁 Pagos Fijos'!$F$9:$F$33,P31)/12</f>
        <v>0</v>
      </c>
      <c r="R31" s="16"/>
      <c r="S31" s="16"/>
      <c r="T31" s="16"/>
      <c r="U31" s="16"/>
      <c r="V31" s="16"/>
      <c r="W31" s="6"/>
      <c r="X31" s="6"/>
      <c r="Y31" s="6"/>
      <c r="Z31" s="6"/>
    </row>
    <row r="32" spans="1:26" ht="13.5" customHeight="1">
      <c r="A32" s="16"/>
      <c r="B32" s="16"/>
      <c r="C32" s="16"/>
      <c r="D32" s="16"/>
      <c r="E32" s="16"/>
      <c r="F32" s="16"/>
      <c r="G32" s="16"/>
      <c r="H32" s="16"/>
      <c r="I32" s="16"/>
      <c r="J32" s="16"/>
      <c r="K32" s="16"/>
      <c r="L32" s="16"/>
      <c r="M32" s="16"/>
      <c r="N32" s="16"/>
      <c r="O32" s="16"/>
      <c r="P32" s="59">
        <v>24</v>
      </c>
      <c r="Q32" s="59">
        <f>SUMIFS('🔁 Pagos Fijos'!$H$9:$H$33,'🔁 Pagos Fijos'!$F$9:$F$33,P32)/12</f>
        <v>0</v>
      </c>
      <c r="R32" s="16"/>
      <c r="S32" s="16"/>
      <c r="T32" s="16"/>
      <c r="U32" s="16"/>
      <c r="V32" s="16"/>
      <c r="W32" s="6"/>
      <c r="X32" s="6"/>
      <c r="Y32" s="6"/>
      <c r="Z32" s="6"/>
    </row>
    <row r="33" spans="1:26" ht="13.5" customHeight="1">
      <c r="A33" s="16"/>
      <c r="B33" s="16"/>
      <c r="C33" s="16"/>
      <c r="D33" s="16"/>
      <c r="E33" s="16"/>
      <c r="F33" s="16"/>
      <c r="G33" s="16"/>
      <c r="H33" s="16"/>
      <c r="I33" s="16"/>
      <c r="J33" s="16"/>
      <c r="K33" s="16"/>
      <c r="L33" s="16"/>
      <c r="M33" s="16"/>
      <c r="N33" s="16"/>
      <c r="O33" s="16"/>
      <c r="P33" s="59">
        <v>25</v>
      </c>
      <c r="Q33" s="59">
        <f>SUMIFS('🔁 Pagos Fijos'!$H$9:$H$33,'🔁 Pagos Fijos'!$F$9:$F$33,P33)/12</f>
        <v>0</v>
      </c>
      <c r="R33" s="16"/>
      <c r="S33" s="16"/>
      <c r="T33" s="16"/>
      <c r="U33" s="16"/>
      <c r="V33" s="16"/>
      <c r="W33" s="6"/>
      <c r="X33" s="6"/>
      <c r="Y33" s="6"/>
      <c r="Z33" s="6"/>
    </row>
    <row r="34" spans="1:26" ht="13.5" customHeight="1">
      <c r="A34" s="16"/>
      <c r="B34" s="16"/>
      <c r="C34" s="16"/>
      <c r="D34" s="16"/>
      <c r="E34" s="16"/>
      <c r="F34" s="16"/>
      <c r="G34" s="16"/>
      <c r="H34" s="16"/>
      <c r="I34" s="16"/>
      <c r="J34" s="16"/>
      <c r="K34" s="16"/>
      <c r="L34" s="16"/>
      <c r="M34" s="16"/>
      <c r="N34" s="16"/>
      <c r="O34" s="16"/>
      <c r="P34" s="59">
        <v>26</v>
      </c>
      <c r="Q34" s="59">
        <f>SUMIFS('🔁 Pagos Fijos'!$H$9:$H$33,'🔁 Pagos Fijos'!$F$9:$F$33,P34)/12</f>
        <v>0</v>
      </c>
      <c r="R34" s="16"/>
      <c r="S34" s="16"/>
      <c r="T34" s="16"/>
      <c r="U34" s="16"/>
      <c r="V34" s="16"/>
      <c r="W34" s="6"/>
      <c r="X34" s="6"/>
      <c r="Y34" s="6"/>
      <c r="Z34" s="6"/>
    </row>
    <row r="35" spans="1:26" ht="13.5" customHeight="1">
      <c r="A35" s="16"/>
      <c r="B35" s="16"/>
      <c r="C35" s="16"/>
      <c r="D35" s="16"/>
      <c r="E35" s="16"/>
      <c r="F35" s="16"/>
      <c r="G35" s="16"/>
      <c r="H35" s="16"/>
      <c r="I35" s="16"/>
      <c r="J35" s="16"/>
      <c r="K35" s="16"/>
      <c r="L35" s="16"/>
      <c r="M35" s="16"/>
      <c r="N35" s="16"/>
      <c r="O35" s="16"/>
      <c r="P35" s="59">
        <v>27</v>
      </c>
      <c r="Q35" s="59">
        <f>SUMIFS('🔁 Pagos Fijos'!$H$9:$H$33,'🔁 Pagos Fijos'!$F$9:$F$33,P35)/12</f>
        <v>0</v>
      </c>
      <c r="R35" s="16"/>
      <c r="S35" s="16"/>
      <c r="T35" s="16"/>
      <c r="U35" s="16"/>
      <c r="V35" s="16"/>
      <c r="W35" s="6"/>
      <c r="X35" s="6"/>
      <c r="Y35" s="6"/>
      <c r="Z35" s="6"/>
    </row>
    <row r="36" spans="1:26" ht="13.5" customHeight="1">
      <c r="A36" s="16"/>
      <c r="B36" s="16"/>
      <c r="C36" s="16"/>
      <c r="D36" s="16"/>
      <c r="E36" s="16"/>
      <c r="F36" s="16"/>
      <c r="G36" s="16"/>
      <c r="H36" s="16"/>
      <c r="I36" s="16"/>
      <c r="J36" s="16"/>
      <c r="K36" s="16"/>
      <c r="L36" s="16"/>
      <c r="M36" s="16"/>
      <c r="N36" s="16"/>
      <c r="O36" s="16"/>
      <c r="P36" s="59">
        <v>28</v>
      </c>
      <c r="Q36" s="59">
        <f>SUMIFS('🔁 Pagos Fijos'!$H$9:$H$33,'🔁 Pagos Fijos'!$F$9:$F$33,P36)/12</f>
        <v>0</v>
      </c>
      <c r="R36" s="16"/>
      <c r="S36" s="16"/>
      <c r="T36" s="16"/>
      <c r="U36" s="16"/>
      <c r="V36" s="16"/>
      <c r="W36" s="6"/>
      <c r="X36" s="6"/>
      <c r="Y36" s="6"/>
      <c r="Z36" s="6"/>
    </row>
    <row r="37" spans="1:26" ht="13.5" customHeight="1">
      <c r="A37" s="16"/>
      <c r="B37" s="16"/>
      <c r="C37" s="16"/>
      <c r="D37" s="16"/>
      <c r="E37" s="16"/>
      <c r="F37" s="16"/>
      <c r="G37" s="16"/>
      <c r="H37" s="16"/>
      <c r="I37" s="16"/>
      <c r="J37" s="16"/>
      <c r="K37" s="16"/>
      <c r="L37" s="16"/>
      <c r="M37" s="16"/>
      <c r="N37" s="16"/>
      <c r="O37" s="16"/>
      <c r="P37" s="59">
        <v>29</v>
      </c>
      <c r="Q37" s="59">
        <f>SUMIFS('🔁 Pagos Fijos'!$H$9:$H$33,'🔁 Pagos Fijos'!$F$9:$F$33,P37)/12</f>
        <v>0</v>
      </c>
      <c r="R37" s="16"/>
      <c r="S37" s="16"/>
      <c r="T37" s="16"/>
      <c r="U37" s="16"/>
      <c r="V37" s="16"/>
      <c r="W37" s="6"/>
      <c r="X37" s="6"/>
      <c r="Y37" s="6"/>
      <c r="Z37" s="6"/>
    </row>
    <row r="38" spans="1:26" ht="13.5" customHeight="1">
      <c r="A38" s="16"/>
      <c r="B38" s="16"/>
      <c r="C38" s="16"/>
      <c r="D38" s="16"/>
      <c r="E38" s="16"/>
      <c r="F38" s="16"/>
      <c r="G38" s="16"/>
      <c r="H38" s="16"/>
      <c r="I38" s="16"/>
      <c r="J38" s="16"/>
      <c r="K38" s="16"/>
      <c r="L38" s="16"/>
      <c r="M38" s="16"/>
      <c r="N38" s="16"/>
      <c r="O38" s="16"/>
      <c r="P38" s="59">
        <v>30</v>
      </c>
      <c r="Q38" s="59">
        <f>SUMIFS('🔁 Pagos Fijos'!$H$9:$H$33,'🔁 Pagos Fijos'!$F$9:$F$33,P38)/12</f>
        <v>0</v>
      </c>
      <c r="R38" s="16"/>
      <c r="S38" s="16"/>
      <c r="T38" s="16"/>
      <c r="U38" s="16"/>
      <c r="V38" s="16"/>
      <c r="W38" s="6"/>
      <c r="X38" s="6"/>
      <c r="Y38" s="6"/>
      <c r="Z38" s="6"/>
    </row>
    <row r="39" spans="1:26" ht="13.5" customHeight="1">
      <c r="A39" s="16"/>
      <c r="B39" s="16"/>
      <c r="C39" s="16"/>
      <c r="D39" s="16"/>
      <c r="E39" s="16"/>
      <c r="F39" s="16"/>
      <c r="G39" s="16"/>
      <c r="H39" s="16"/>
      <c r="I39" s="16"/>
      <c r="J39" s="16"/>
      <c r="K39" s="16"/>
      <c r="L39" s="16"/>
      <c r="M39" s="16"/>
      <c r="N39" s="16"/>
      <c r="O39" s="16"/>
      <c r="P39" s="59">
        <v>31</v>
      </c>
      <c r="Q39" s="59">
        <f>SUMIFS('🔁 Pagos Fijos'!$H$9:$H$33,'🔁 Pagos Fijos'!$F$9:$F$33,P39)/12</f>
        <v>0</v>
      </c>
      <c r="R39" s="16"/>
      <c r="S39" s="16"/>
      <c r="T39" s="16"/>
      <c r="U39" s="16"/>
      <c r="V39" s="16"/>
      <c r="W39" s="6"/>
      <c r="X39" s="6"/>
      <c r="Y39" s="6"/>
      <c r="Z39" s="6"/>
    </row>
    <row r="40" spans="1:26" ht="13.5" customHeight="1">
      <c r="A40" s="16"/>
      <c r="B40" s="16"/>
      <c r="C40" s="16"/>
      <c r="D40" s="16"/>
      <c r="E40" s="16"/>
      <c r="F40" s="16"/>
      <c r="G40" s="16"/>
      <c r="H40" s="16"/>
      <c r="I40" s="16"/>
      <c r="J40" s="16"/>
      <c r="K40" s="16"/>
      <c r="L40" s="16"/>
      <c r="M40" s="16"/>
      <c r="N40" s="16"/>
      <c r="O40" s="16"/>
      <c r="P40" s="16"/>
      <c r="Q40" s="16"/>
      <c r="R40" s="16"/>
      <c r="S40" s="16"/>
      <c r="T40" s="16"/>
      <c r="U40" s="16"/>
      <c r="V40" s="16"/>
      <c r="W40" s="6"/>
      <c r="X40" s="6"/>
      <c r="Y40" s="6"/>
      <c r="Z40" s="6"/>
    </row>
    <row r="41" spans="1:26" ht="13.5" customHeight="1">
      <c r="A41" s="16"/>
      <c r="B41" s="16"/>
      <c r="C41" s="16"/>
      <c r="D41" s="16"/>
      <c r="E41" s="16"/>
      <c r="F41" s="16"/>
      <c r="G41" s="16"/>
      <c r="H41" s="16"/>
      <c r="I41" s="16"/>
      <c r="J41" s="16"/>
      <c r="K41" s="16"/>
      <c r="L41" s="16"/>
      <c r="M41" s="16"/>
      <c r="N41" s="16"/>
      <c r="O41" s="16"/>
      <c r="P41" s="16"/>
      <c r="Q41" s="16"/>
      <c r="R41" s="16"/>
      <c r="S41" s="16"/>
      <c r="T41" s="16"/>
      <c r="U41" s="16"/>
      <c r="V41" s="16"/>
      <c r="W41" s="6"/>
      <c r="X41" s="6"/>
      <c r="Y41" s="6"/>
      <c r="Z41" s="6"/>
    </row>
    <row r="42" spans="1:26" ht="13.5" customHeight="1">
      <c r="A42" s="16"/>
      <c r="B42" s="16"/>
      <c r="C42" s="16"/>
      <c r="D42" s="16"/>
      <c r="E42" s="16"/>
      <c r="F42" s="16"/>
      <c r="G42" s="16"/>
      <c r="H42" s="16"/>
      <c r="I42" s="16"/>
      <c r="J42" s="16"/>
      <c r="K42" s="16"/>
      <c r="L42" s="16"/>
      <c r="M42" s="16"/>
      <c r="N42" s="16"/>
      <c r="O42" s="16"/>
      <c r="P42" s="16"/>
      <c r="Q42" s="16"/>
      <c r="R42" s="16"/>
      <c r="S42" s="16"/>
      <c r="T42" s="16"/>
      <c r="U42" s="16"/>
      <c r="V42" s="16"/>
      <c r="W42" s="6"/>
      <c r="X42" s="6"/>
      <c r="Y42" s="6"/>
      <c r="Z42" s="6"/>
    </row>
    <row r="43" spans="1:26" ht="13.5" customHeight="1">
      <c r="A43" s="16"/>
      <c r="B43" s="16"/>
      <c r="C43" s="16"/>
      <c r="D43" s="16"/>
      <c r="E43" s="16"/>
      <c r="F43" s="16"/>
      <c r="G43" s="16"/>
      <c r="H43" s="16"/>
      <c r="I43" s="16"/>
      <c r="J43" s="16"/>
      <c r="K43" s="16"/>
      <c r="L43" s="16"/>
      <c r="M43" s="16"/>
      <c r="N43" s="16"/>
      <c r="O43" s="16"/>
      <c r="P43" s="16"/>
      <c r="Q43" s="16"/>
      <c r="R43" s="16"/>
      <c r="S43" s="16"/>
      <c r="T43" s="16"/>
      <c r="U43" s="16"/>
      <c r="V43" s="16"/>
      <c r="W43" s="6"/>
      <c r="X43" s="6"/>
      <c r="Y43" s="6"/>
      <c r="Z43" s="6"/>
    </row>
    <row r="44" spans="1:26" ht="13.5" customHeight="1">
      <c r="A44" s="16"/>
      <c r="B44" s="16"/>
      <c r="C44" s="16"/>
      <c r="D44" s="16"/>
      <c r="E44" s="16"/>
      <c r="F44" s="16"/>
      <c r="G44" s="16"/>
      <c r="H44" s="16"/>
      <c r="I44" s="16"/>
      <c r="J44" s="16"/>
      <c r="K44" s="16"/>
      <c r="L44" s="16"/>
      <c r="M44" s="16"/>
      <c r="N44" s="16"/>
      <c r="O44" s="16"/>
      <c r="P44" s="16"/>
      <c r="Q44" s="16"/>
      <c r="R44" s="16"/>
      <c r="S44" s="16"/>
      <c r="T44" s="16"/>
      <c r="U44" s="16"/>
      <c r="V44" s="16"/>
      <c r="W44" s="6"/>
      <c r="X44" s="6"/>
      <c r="Y44" s="6"/>
      <c r="Z44" s="6"/>
    </row>
    <row r="45" spans="1:26" ht="13.5" customHeight="1">
      <c r="A45" s="16"/>
      <c r="B45" s="16"/>
      <c r="C45" s="16"/>
      <c r="D45" s="16"/>
      <c r="E45" s="16"/>
      <c r="F45" s="16"/>
      <c r="G45" s="16"/>
      <c r="H45" s="16"/>
      <c r="I45" s="16"/>
      <c r="J45" s="16"/>
      <c r="K45" s="16"/>
      <c r="L45" s="16"/>
      <c r="M45" s="16"/>
      <c r="N45" s="16"/>
      <c r="O45" s="16"/>
      <c r="P45" s="16"/>
      <c r="Q45" s="16"/>
      <c r="R45" s="16"/>
      <c r="S45" s="16"/>
      <c r="T45" s="16"/>
      <c r="U45" s="16"/>
      <c r="V45" s="16"/>
      <c r="W45" s="6"/>
      <c r="X45" s="6"/>
      <c r="Y45" s="6"/>
      <c r="Z45" s="6"/>
    </row>
    <row r="46" spans="1:26" ht="13.5" customHeight="1">
      <c r="A46" s="16"/>
      <c r="B46" s="16"/>
      <c r="C46" s="16"/>
      <c r="D46" s="16"/>
      <c r="E46" s="16"/>
      <c r="F46" s="16"/>
      <c r="G46" s="16"/>
      <c r="H46" s="16"/>
      <c r="I46" s="16"/>
      <c r="J46" s="16"/>
      <c r="K46" s="16"/>
      <c r="L46" s="16"/>
      <c r="M46" s="16"/>
      <c r="N46" s="16"/>
      <c r="O46" s="16"/>
      <c r="P46" s="16"/>
      <c r="Q46" s="16"/>
      <c r="R46" s="16"/>
      <c r="S46" s="16"/>
      <c r="T46" s="16"/>
      <c r="U46" s="16"/>
      <c r="V46" s="16"/>
      <c r="W46" s="6"/>
      <c r="X46" s="6"/>
      <c r="Y46" s="6"/>
      <c r="Z46" s="6"/>
    </row>
    <row r="47" spans="1:26" ht="13.5" customHeight="1">
      <c r="A47" s="16"/>
      <c r="B47" s="16"/>
      <c r="C47" s="16"/>
      <c r="D47" s="16"/>
      <c r="E47" s="16"/>
      <c r="F47" s="16"/>
      <c r="G47" s="16"/>
      <c r="H47" s="16"/>
      <c r="I47" s="16"/>
      <c r="J47" s="16"/>
      <c r="K47" s="16"/>
      <c r="L47" s="16"/>
      <c r="M47" s="16"/>
      <c r="N47" s="16"/>
      <c r="O47" s="16"/>
      <c r="P47" s="16"/>
      <c r="Q47" s="16"/>
      <c r="R47" s="16"/>
      <c r="S47" s="16"/>
      <c r="T47" s="16"/>
      <c r="U47" s="16"/>
      <c r="V47" s="16"/>
      <c r="W47" s="6"/>
      <c r="X47" s="6"/>
      <c r="Y47" s="6"/>
      <c r="Z47" s="6"/>
    </row>
    <row r="48" spans="1:26" ht="13.5" customHeight="1">
      <c r="A48" s="16"/>
      <c r="B48" s="16"/>
      <c r="C48" s="16"/>
      <c r="D48" s="16"/>
      <c r="E48" s="16"/>
      <c r="F48" s="16"/>
      <c r="G48" s="16"/>
      <c r="H48" s="16"/>
      <c r="I48" s="16"/>
      <c r="J48" s="16"/>
      <c r="K48" s="16"/>
      <c r="L48" s="16"/>
      <c r="M48" s="16"/>
      <c r="N48" s="16"/>
      <c r="O48" s="16"/>
      <c r="P48" s="16"/>
      <c r="Q48" s="16"/>
      <c r="R48" s="16"/>
      <c r="S48" s="16"/>
      <c r="T48" s="16"/>
      <c r="U48" s="16"/>
      <c r="V48" s="16"/>
      <c r="W48" s="6"/>
      <c r="X48" s="6"/>
      <c r="Y48" s="6"/>
      <c r="Z48" s="6"/>
    </row>
    <row r="49" spans="1:26" ht="13.5" customHeight="1">
      <c r="A49" s="16"/>
      <c r="B49" s="16"/>
      <c r="C49" s="16"/>
      <c r="D49" s="16"/>
      <c r="E49" s="16"/>
      <c r="F49" s="16"/>
      <c r="G49" s="16"/>
      <c r="H49" s="16"/>
      <c r="I49" s="16"/>
      <c r="J49" s="16"/>
      <c r="K49" s="16"/>
      <c r="L49" s="16"/>
      <c r="M49" s="16"/>
      <c r="N49" s="16"/>
      <c r="O49" s="16"/>
      <c r="P49" s="16"/>
      <c r="Q49" s="16"/>
      <c r="R49" s="16"/>
      <c r="S49" s="16"/>
      <c r="T49" s="16"/>
      <c r="U49" s="16"/>
      <c r="V49" s="16"/>
      <c r="W49" s="6"/>
      <c r="X49" s="6"/>
      <c r="Y49" s="6"/>
      <c r="Z49" s="6"/>
    </row>
    <row r="50" spans="1:26" ht="13.5" customHeight="1">
      <c r="A50" s="16"/>
      <c r="B50" s="16"/>
      <c r="C50" s="16"/>
      <c r="D50" s="16"/>
      <c r="E50" s="16"/>
      <c r="F50" s="16"/>
      <c r="G50" s="16"/>
      <c r="H50" s="16"/>
      <c r="I50" s="16"/>
      <c r="J50" s="16"/>
      <c r="K50" s="16"/>
      <c r="L50" s="16"/>
      <c r="M50" s="16"/>
      <c r="N50" s="16"/>
      <c r="O50" s="16"/>
      <c r="P50" s="16"/>
      <c r="Q50" s="16"/>
      <c r="R50" s="16"/>
      <c r="S50" s="16"/>
      <c r="T50" s="16"/>
      <c r="U50" s="16"/>
      <c r="V50" s="16"/>
      <c r="W50" s="6"/>
      <c r="X50" s="6"/>
      <c r="Y50" s="6"/>
      <c r="Z50" s="6"/>
    </row>
    <row r="51" spans="1:26" ht="13.5" customHeight="1">
      <c r="A51" s="16"/>
      <c r="B51" s="16"/>
      <c r="C51" s="16"/>
      <c r="D51" s="16"/>
      <c r="E51" s="16"/>
      <c r="F51" s="16"/>
      <c r="G51" s="16"/>
      <c r="H51" s="16"/>
      <c r="I51" s="16"/>
      <c r="J51" s="16"/>
      <c r="K51" s="16"/>
      <c r="L51" s="16"/>
      <c r="M51" s="16"/>
      <c r="N51" s="16"/>
      <c r="O51" s="16"/>
      <c r="P51" s="16"/>
      <c r="Q51" s="16"/>
      <c r="R51" s="16"/>
      <c r="S51" s="16"/>
      <c r="T51" s="16"/>
      <c r="U51" s="16"/>
      <c r="V51" s="16"/>
      <c r="W51" s="6"/>
      <c r="X51" s="6"/>
      <c r="Y51" s="6"/>
      <c r="Z51" s="6"/>
    </row>
    <row r="52" spans="1:26" ht="13.5" customHeight="1">
      <c r="A52" s="16"/>
      <c r="B52" s="16"/>
      <c r="C52" s="16"/>
      <c r="D52" s="16"/>
      <c r="E52" s="16"/>
      <c r="F52" s="16"/>
      <c r="G52" s="16"/>
      <c r="H52" s="16"/>
      <c r="I52" s="16"/>
      <c r="J52" s="16"/>
      <c r="K52" s="16"/>
      <c r="L52" s="16"/>
      <c r="M52" s="16"/>
      <c r="N52" s="16"/>
      <c r="O52" s="16"/>
      <c r="P52" s="16"/>
      <c r="Q52" s="16"/>
      <c r="R52" s="16"/>
      <c r="S52" s="16"/>
      <c r="T52" s="16"/>
      <c r="U52" s="16"/>
      <c r="V52" s="16"/>
      <c r="W52" s="6"/>
      <c r="X52" s="6"/>
      <c r="Y52" s="6"/>
      <c r="Z52" s="6"/>
    </row>
    <row r="53" spans="1:26" ht="13.5" customHeight="1">
      <c r="A53" s="16"/>
      <c r="B53" s="16"/>
      <c r="C53" s="16"/>
      <c r="D53" s="16"/>
      <c r="E53" s="16"/>
      <c r="F53" s="16"/>
      <c r="G53" s="16"/>
      <c r="H53" s="16"/>
      <c r="I53" s="16"/>
      <c r="J53" s="16"/>
      <c r="K53" s="16"/>
      <c r="L53" s="16"/>
      <c r="M53" s="16"/>
      <c r="N53" s="16"/>
      <c r="O53" s="16"/>
      <c r="P53" s="16"/>
      <c r="Q53" s="16"/>
      <c r="R53" s="16"/>
      <c r="S53" s="16"/>
      <c r="T53" s="16"/>
      <c r="U53" s="16"/>
      <c r="V53" s="16"/>
      <c r="W53" s="6"/>
      <c r="X53" s="6"/>
      <c r="Y53" s="6"/>
      <c r="Z53" s="6"/>
    </row>
    <row r="54" spans="1:26" ht="13.5" customHeight="1">
      <c r="A54" s="16"/>
      <c r="B54" s="16"/>
      <c r="C54" s="16"/>
      <c r="D54" s="16"/>
      <c r="E54" s="16"/>
      <c r="F54" s="16"/>
      <c r="G54" s="16"/>
      <c r="H54" s="16"/>
      <c r="I54" s="16"/>
      <c r="J54" s="16"/>
      <c r="K54" s="16"/>
      <c r="L54" s="16"/>
      <c r="M54" s="16"/>
      <c r="N54" s="16"/>
      <c r="O54" s="16"/>
      <c r="P54" s="16"/>
      <c r="Q54" s="16"/>
      <c r="R54" s="16"/>
      <c r="S54" s="16"/>
      <c r="T54" s="16"/>
      <c r="U54" s="16"/>
      <c r="V54" s="16"/>
      <c r="W54" s="6"/>
      <c r="X54" s="6"/>
      <c r="Y54" s="6"/>
      <c r="Z54" s="6"/>
    </row>
    <row r="55" spans="1:26" ht="13.5" customHeight="1">
      <c r="A55" s="16"/>
      <c r="B55" s="16"/>
      <c r="C55" s="16"/>
      <c r="D55" s="16"/>
      <c r="E55" s="16"/>
      <c r="F55" s="16"/>
      <c r="G55" s="16"/>
      <c r="H55" s="16"/>
      <c r="I55" s="16"/>
      <c r="J55" s="16"/>
      <c r="K55" s="16"/>
      <c r="L55" s="16"/>
      <c r="M55" s="16"/>
      <c r="N55" s="16"/>
      <c r="O55" s="16"/>
      <c r="P55" s="16"/>
      <c r="Q55" s="16"/>
      <c r="R55" s="16"/>
      <c r="S55" s="16"/>
      <c r="T55" s="16"/>
      <c r="U55" s="16"/>
      <c r="V55" s="16"/>
      <c r="W55" s="6"/>
      <c r="X55" s="6"/>
      <c r="Y55" s="6"/>
      <c r="Z55" s="6"/>
    </row>
    <row r="56" spans="1:26" ht="13.5" customHeight="1">
      <c r="A56" s="16"/>
      <c r="B56" s="16"/>
      <c r="C56" s="16"/>
      <c r="D56" s="16"/>
      <c r="E56" s="16"/>
      <c r="F56" s="16"/>
      <c r="G56" s="16"/>
      <c r="H56" s="16"/>
      <c r="I56" s="16"/>
      <c r="J56" s="16"/>
      <c r="K56" s="16"/>
      <c r="L56" s="16"/>
      <c r="M56" s="16"/>
      <c r="N56" s="16"/>
      <c r="O56" s="16"/>
      <c r="P56" s="16"/>
      <c r="Q56" s="16"/>
      <c r="R56" s="16"/>
      <c r="S56" s="16"/>
      <c r="T56" s="16"/>
      <c r="U56" s="16"/>
      <c r="V56" s="16"/>
      <c r="W56" s="6"/>
      <c r="X56" s="6"/>
      <c r="Y56" s="6"/>
      <c r="Z56" s="6"/>
    </row>
    <row r="57" spans="1:26" ht="13.5" customHeight="1">
      <c r="A57" s="16"/>
      <c r="B57" s="16"/>
      <c r="C57" s="16"/>
      <c r="D57" s="16"/>
      <c r="E57" s="16"/>
      <c r="F57" s="16"/>
      <c r="G57" s="16"/>
      <c r="H57" s="16"/>
      <c r="I57" s="16"/>
      <c r="J57" s="16"/>
      <c r="K57" s="16"/>
      <c r="L57" s="16"/>
      <c r="M57" s="16"/>
      <c r="N57" s="16"/>
      <c r="O57" s="16"/>
      <c r="P57" s="16"/>
      <c r="Q57" s="16"/>
      <c r="R57" s="16"/>
      <c r="S57" s="16"/>
      <c r="T57" s="16"/>
      <c r="U57" s="16"/>
      <c r="V57" s="16"/>
      <c r="W57" s="6"/>
      <c r="X57" s="6"/>
      <c r="Y57" s="6"/>
      <c r="Z57" s="6"/>
    </row>
    <row r="58" spans="1:26" ht="13.5" customHeight="1">
      <c r="A58" s="16"/>
      <c r="B58" s="16"/>
      <c r="C58" s="16"/>
      <c r="D58" s="16"/>
      <c r="E58" s="16"/>
      <c r="F58" s="16"/>
      <c r="G58" s="16"/>
      <c r="H58" s="16"/>
      <c r="I58" s="16"/>
      <c r="J58" s="16"/>
      <c r="K58" s="16"/>
      <c r="L58" s="16"/>
      <c r="M58" s="16"/>
      <c r="N58" s="16"/>
      <c r="O58" s="16"/>
      <c r="P58" s="16"/>
      <c r="Q58" s="16"/>
      <c r="R58" s="16"/>
      <c r="S58" s="16"/>
      <c r="T58" s="16"/>
      <c r="U58" s="16"/>
      <c r="V58" s="16"/>
      <c r="W58" s="6"/>
      <c r="X58" s="6"/>
      <c r="Y58" s="6"/>
      <c r="Z58" s="6"/>
    </row>
    <row r="59" spans="1:26" ht="13.5" customHeight="1">
      <c r="A59" s="16"/>
      <c r="B59" s="16"/>
      <c r="C59" s="16"/>
      <c r="D59" s="16"/>
      <c r="E59" s="16"/>
      <c r="F59" s="16"/>
      <c r="G59" s="16"/>
      <c r="H59" s="16"/>
      <c r="I59" s="16"/>
      <c r="J59" s="16"/>
      <c r="K59" s="16"/>
      <c r="L59" s="16"/>
      <c r="M59" s="16"/>
      <c r="N59" s="16"/>
      <c r="O59" s="16"/>
      <c r="P59" s="16"/>
      <c r="Q59" s="16"/>
      <c r="R59" s="16"/>
      <c r="S59" s="16"/>
      <c r="T59" s="16"/>
      <c r="U59" s="16"/>
      <c r="V59" s="16"/>
      <c r="W59" s="6"/>
      <c r="X59" s="6"/>
      <c r="Y59" s="6"/>
      <c r="Z59" s="6"/>
    </row>
    <row r="60" spans="1:26" ht="13.5" customHeight="1">
      <c r="A60" s="16"/>
      <c r="B60" s="16"/>
      <c r="C60" s="16"/>
      <c r="D60" s="16"/>
      <c r="E60" s="16"/>
      <c r="F60" s="16"/>
      <c r="G60" s="16"/>
      <c r="H60" s="16"/>
      <c r="I60" s="16"/>
      <c r="J60" s="16"/>
      <c r="K60" s="16"/>
      <c r="L60" s="16"/>
      <c r="M60" s="16"/>
      <c r="N60" s="16"/>
      <c r="O60" s="16"/>
      <c r="P60" s="16"/>
      <c r="Q60" s="16"/>
      <c r="R60" s="16"/>
      <c r="S60" s="16"/>
      <c r="T60" s="16"/>
      <c r="U60" s="16"/>
      <c r="V60" s="16"/>
      <c r="W60" s="6"/>
      <c r="X60" s="6"/>
      <c r="Y60" s="6"/>
      <c r="Z60" s="6"/>
    </row>
    <row r="61" spans="1:26" ht="13.5" customHeight="1">
      <c r="A61" s="16"/>
      <c r="B61" s="16"/>
      <c r="C61" s="16"/>
      <c r="D61" s="16"/>
      <c r="E61" s="16"/>
      <c r="F61" s="16"/>
      <c r="G61" s="16"/>
      <c r="H61" s="16"/>
      <c r="I61" s="16"/>
      <c r="J61" s="16"/>
      <c r="K61" s="16"/>
      <c r="L61" s="16"/>
      <c r="M61" s="16"/>
      <c r="N61" s="16"/>
      <c r="O61" s="16"/>
      <c r="P61" s="16"/>
      <c r="Q61" s="16"/>
      <c r="R61" s="16"/>
      <c r="S61" s="16"/>
      <c r="T61" s="16"/>
      <c r="U61" s="16"/>
      <c r="V61" s="16"/>
      <c r="W61" s="6"/>
      <c r="X61" s="6"/>
      <c r="Y61" s="6"/>
      <c r="Z61" s="6"/>
    </row>
    <row r="62" spans="1:26" ht="13.5" customHeight="1">
      <c r="A62" s="16"/>
      <c r="B62" s="16"/>
      <c r="C62" s="16"/>
      <c r="D62" s="16"/>
      <c r="E62" s="16"/>
      <c r="F62" s="16"/>
      <c r="G62" s="16"/>
      <c r="H62" s="16"/>
      <c r="I62" s="16"/>
      <c r="J62" s="16"/>
      <c r="K62" s="16"/>
      <c r="L62" s="16"/>
      <c r="M62" s="16"/>
      <c r="N62" s="16"/>
      <c r="O62" s="16"/>
      <c r="P62" s="16"/>
      <c r="Q62" s="16"/>
      <c r="R62" s="16"/>
      <c r="S62" s="16"/>
      <c r="T62" s="16"/>
      <c r="U62" s="16"/>
      <c r="V62" s="16"/>
      <c r="W62" s="6"/>
      <c r="X62" s="6"/>
      <c r="Y62" s="6"/>
      <c r="Z62" s="6"/>
    </row>
    <row r="63" spans="1:26" ht="13.5" customHeight="1">
      <c r="A63" s="16"/>
      <c r="B63" s="16"/>
      <c r="C63" s="16"/>
      <c r="D63" s="16"/>
      <c r="E63" s="16"/>
      <c r="F63" s="16"/>
      <c r="G63" s="16"/>
      <c r="H63" s="16"/>
      <c r="I63" s="16"/>
      <c r="J63" s="16"/>
      <c r="K63" s="16"/>
      <c r="L63" s="16"/>
      <c r="M63" s="16"/>
      <c r="N63" s="16"/>
      <c r="O63" s="16"/>
      <c r="P63" s="16"/>
      <c r="Q63" s="16"/>
      <c r="R63" s="16"/>
      <c r="S63" s="16"/>
      <c r="T63" s="16"/>
      <c r="U63" s="16"/>
      <c r="V63" s="16"/>
      <c r="W63" s="6"/>
      <c r="X63" s="6"/>
      <c r="Y63" s="6"/>
      <c r="Z63" s="6"/>
    </row>
    <row r="64" spans="1:26" ht="13.5" customHeight="1">
      <c r="A64" s="16"/>
      <c r="B64" s="16"/>
      <c r="C64" s="16"/>
      <c r="D64" s="16"/>
      <c r="E64" s="16"/>
      <c r="F64" s="16"/>
      <c r="G64" s="16"/>
      <c r="H64" s="16"/>
      <c r="I64" s="16"/>
      <c r="J64" s="16"/>
      <c r="K64" s="16"/>
      <c r="L64" s="16"/>
      <c r="M64" s="16"/>
      <c r="N64" s="16"/>
      <c r="O64" s="16"/>
      <c r="P64" s="16"/>
      <c r="Q64" s="16"/>
      <c r="R64" s="16"/>
      <c r="S64" s="16"/>
      <c r="T64" s="16"/>
      <c r="U64" s="16"/>
      <c r="V64" s="16"/>
      <c r="W64" s="6"/>
      <c r="X64" s="6"/>
      <c r="Y64" s="6"/>
      <c r="Z64" s="6"/>
    </row>
    <row r="65" spans="1:26" ht="13.5" customHeight="1">
      <c r="A65" s="16"/>
      <c r="B65" s="16"/>
      <c r="C65" s="16"/>
      <c r="D65" s="16"/>
      <c r="E65" s="16"/>
      <c r="F65" s="16"/>
      <c r="G65" s="16"/>
      <c r="H65" s="16"/>
      <c r="I65" s="16"/>
      <c r="J65" s="16"/>
      <c r="K65" s="16"/>
      <c r="L65" s="16"/>
      <c r="M65" s="16"/>
      <c r="N65" s="16"/>
      <c r="O65" s="16"/>
      <c r="P65" s="16"/>
      <c r="Q65" s="16"/>
      <c r="R65" s="16"/>
      <c r="S65" s="16"/>
      <c r="T65" s="16"/>
      <c r="U65" s="16"/>
      <c r="V65" s="16"/>
      <c r="W65" s="6"/>
      <c r="X65" s="6"/>
      <c r="Y65" s="6"/>
      <c r="Z65" s="6"/>
    </row>
    <row r="66" spans="1:26" ht="13.5" customHeight="1">
      <c r="A66" s="16"/>
      <c r="B66" s="16"/>
      <c r="C66" s="16"/>
      <c r="D66" s="16"/>
      <c r="E66" s="16"/>
      <c r="F66" s="16"/>
      <c r="G66" s="16"/>
      <c r="H66" s="16"/>
      <c r="I66" s="16"/>
      <c r="J66" s="16"/>
      <c r="K66" s="16"/>
      <c r="L66" s="16"/>
      <c r="M66" s="16"/>
      <c r="N66" s="16"/>
      <c r="O66" s="16"/>
      <c r="P66" s="16"/>
      <c r="Q66" s="16"/>
      <c r="R66" s="16"/>
      <c r="S66" s="16"/>
      <c r="T66" s="16"/>
      <c r="U66" s="16"/>
      <c r="V66" s="16"/>
      <c r="W66" s="6"/>
      <c r="X66" s="6"/>
      <c r="Y66" s="6"/>
      <c r="Z66" s="6"/>
    </row>
    <row r="67" spans="1:26" ht="13.5" customHeight="1">
      <c r="A67" s="16"/>
      <c r="B67" s="16"/>
      <c r="C67" s="16"/>
      <c r="D67" s="16"/>
      <c r="E67" s="16"/>
      <c r="F67" s="16"/>
      <c r="G67" s="16"/>
      <c r="H67" s="16"/>
      <c r="I67" s="16"/>
      <c r="J67" s="16"/>
      <c r="K67" s="16"/>
      <c r="L67" s="16"/>
      <c r="M67" s="16"/>
      <c r="N67" s="16"/>
      <c r="O67" s="16"/>
      <c r="P67" s="16"/>
      <c r="Q67" s="16"/>
      <c r="R67" s="16"/>
      <c r="S67" s="16"/>
      <c r="T67" s="16"/>
      <c r="U67" s="16"/>
      <c r="V67" s="16"/>
      <c r="W67" s="6"/>
      <c r="X67" s="6"/>
      <c r="Y67" s="6"/>
      <c r="Z67" s="6"/>
    </row>
    <row r="68" spans="1:26" ht="13.5" customHeight="1">
      <c r="A68" s="16"/>
      <c r="B68" s="16"/>
      <c r="C68" s="16"/>
      <c r="D68" s="16"/>
      <c r="E68" s="16"/>
      <c r="F68" s="16"/>
      <c r="G68" s="16"/>
      <c r="H68" s="16"/>
      <c r="I68" s="16"/>
      <c r="J68" s="16"/>
      <c r="K68" s="16"/>
      <c r="L68" s="16"/>
      <c r="M68" s="16"/>
      <c r="N68" s="16"/>
      <c r="O68" s="16"/>
      <c r="P68" s="16"/>
      <c r="Q68" s="16"/>
      <c r="R68" s="16"/>
      <c r="S68" s="16"/>
      <c r="T68" s="16"/>
      <c r="U68" s="16"/>
      <c r="V68" s="16"/>
      <c r="W68" s="6"/>
      <c r="X68" s="6"/>
      <c r="Y68" s="6"/>
      <c r="Z68" s="6"/>
    </row>
    <row r="69" spans="1:26" ht="13.5" customHeight="1">
      <c r="A69" s="16"/>
      <c r="B69" s="16"/>
      <c r="C69" s="16"/>
      <c r="D69" s="16"/>
      <c r="E69" s="16"/>
      <c r="F69" s="16"/>
      <c r="G69" s="16"/>
      <c r="H69" s="16"/>
      <c r="I69" s="16"/>
      <c r="J69" s="16"/>
      <c r="K69" s="16"/>
      <c r="L69" s="16"/>
      <c r="M69" s="16"/>
      <c r="N69" s="16"/>
      <c r="O69" s="16"/>
      <c r="P69" s="16"/>
      <c r="Q69" s="16"/>
      <c r="R69" s="16"/>
      <c r="S69" s="16"/>
      <c r="T69" s="16"/>
      <c r="U69" s="16"/>
      <c r="V69" s="16"/>
      <c r="W69" s="6"/>
      <c r="X69" s="6"/>
      <c r="Y69" s="6"/>
      <c r="Z69" s="6"/>
    </row>
    <row r="70" spans="1:26" ht="13.5" customHeight="1">
      <c r="A70" s="16"/>
      <c r="B70" s="16"/>
      <c r="C70" s="16"/>
      <c r="D70" s="16"/>
      <c r="E70" s="16"/>
      <c r="F70" s="16"/>
      <c r="G70" s="16"/>
      <c r="H70" s="16"/>
      <c r="I70" s="16"/>
      <c r="J70" s="16"/>
      <c r="K70" s="16"/>
      <c r="L70" s="16"/>
      <c r="M70" s="16"/>
      <c r="N70" s="16"/>
      <c r="O70" s="16"/>
      <c r="P70" s="16"/>
      <c r="Q70" s="16"/>
      <c r="R70" s="16"/>
      <c r="S70" s="16"/>
      <c r="T70" s="16"/>
      <c r="U70" s="16"/>
      <c r="V70" s="16"/>
      <c r="W70" s="6"/>
      <c r="X70" s="6"/>
      <c r="Y70" s="6"/>
      <c r="Z70" s="6"/>
    </row>
    <row r="71" spans="1:26" ht="13.5" customHeight="1">
      <c r="A71" s="16"/>
      <c r="B71" s="16"/>
      <c r="C71" s="16"/>
      <c r="D71" s="16"/>
      <c r="E71" s="16"/>
      <c r="F71" s="16"/>
      <c r="G71" s="16"/>
      <c r="H71" s="16"/>
      <c r="I71" s="16"/>
      <c r="J71" s="16"/>
      <c r="K71" s="16"/>
      <c r="L71" s="16"/>
      <c r="M71" s="16"/>
      <c r="N71" s="16"/>
      <c r="O71" s="16"/>
      <c r="P71" s="16"/>
      <c r="Q71" s="16"/>
      <c r="R71" s="16"/>
      <c r="S71" s="16"/>
      <c r="T71" s="16"/>
      <c r="U71" s="16"/>
      <c r="V71" s="16"/>
      <c r="W71" s="6"/>
      <c r="X71" s="6"/>
      <c r="Y71" s="6"/>
      <c r="Z71" s="6"/>
    </row>
    <row r="72" spans="1:26" ht="13.5" customHeight="1">
      <c r="A72" s="16"/>
      <c r="B72" s="16"/>
      <c r="C72" s="16"/>
      <c r="D72" s="16"/>
      <c r="E72" s="16"/>
      <c r="F72" s="16"/>
      <c r="G72" s="16"/>
      <c r="H72" s="16"/>
      <c r="I72" s="16"/>
      <c r="J72" s="16"/>
      <c r="K72" s="16"/>
      <c r="L72" s="16"/>
      <c r="M72" s="16"/>
      <c r="N72" s="16"/>
      <c r="O72" s="16"/>
      <c r="P72" s="16"/>
      <c r="Q72" s="16"/>
      <c r="R72" s="16"/>
      <c r="S72" s="16"/>
      <c r="T72" s="16"/>
      <c r="U72" s="16"/>
      <c r="V72" s="16"/>
      <c r="W72" s="6"/>
      <c r="X72" s="6"/>
      <c r="Y72" s="6"/>
      <c r="Z72" s="6"/>
    </row>
    <row r="73" spans="1:26" ht="13.5" customHeight="1">
      <c r="A73" s="16"/>
      <c r="B73" s="16"/>
      <c r="C73" s="16"/>
      <c r="D73" s="16"/>
      <c r="E73" s="16"/>
      <c r="F73" s="16"/>
      <c r="G73" s="16"/>
      <c r="H73" s="16"/>
      <c r="I73" s="16"/>
      <c r="J73" s="16"/>
      <c r="K73" s="16"/>
      <c r="L73" s="16"/>
      <c r="M73" s="16"/>
      <c r="N73" s="16"/>
      <c r="O73" s="16"/>
      <c r="P73" s="16"/>
      <c r="Q73" s="16"/>
      <c r="R73" s="16"/>
      <c r="S73" s="16"/>
      <c r="T73" s="16"/>
      <c r="U73" s="16"/>
      <c r="V73" s="16"/>
      <c r="W73" s="6"/>
      <c r="X73" s="6"/>
      <c r="Y73" s="6"/>
      <c r="Z73" s="6"/>
    </row>
    <row r="74" spans="1:26" ht="13.5" customHeight="1">
      <c r="A74" s="16"/>
      <c r="B74" s="16"/>
      <c r="C74" s="16"/>
      <c r="D74" s="16"/>
      <c r="E74" s="16"/>
      <c r="F74" s="16"/>
      <c r="G74" s="16"/>
      <c r="H74" s="16"/>
      <c r="I74" s="16"/>
      <c r="J74" s="16"/>
      <c r="K74" s="16"/>
      <c r="L74" s="16"/>
      <c r="M74" s="16"/>
      <c r="N74" s="16"/>
      <c r="O74" s="16"/>
      <c r="P74" s="16"/>
      <c r="Q74" s="16"/>
      <c r="R74" s="16"/>
      <c r="S74" s="16"/>
      <c r="T74" s="16"/>
      <c r="U74" s="16"/>
      <c r="V74" s="16"/>
      <c r="W74" s="6"/>
      <c r="X74" s="6"/>
      <c r="Y74" s="6"/>
      <c r="Z74" s="6"/>
    </row>
    <row r="75" spans="1:26" ht="13.5" customHeight="1">
      <c r="A75" s="16"/>
      <c r="B75" s="16"/>
      <c r="C75" s="16"/>
      <c r="D75" s="16"/>
      <c r="E75" s="16"/>
      <c r="F75" s="16"/>
      <c r="G75" s="16"/>
      <c r="H75" s="16"/>
      <c r="I75" s="16"/>
      <c r="J75" s="16"/>
      <c r="K75" s="16"/>
      <c r="L75" s="16"/>
      <c r="M75" s="16"/>
      <c r="N75" s="16"/>
      <c r="O75" s="16"/>
      <c r="P75" s="16"/>
      <c r="Q75" s="16"/>
      <c r="R75" s="16"/>
      <c r="S75" s="16"/>
      <c r="T75" s="16"/>
      <c r="U75" s="16"/>
      <c r="V75" s="16"/>
      <c r="W75" s="6"/>
      <c r="X75" s="6"/>
      <c r="Y75" s="6"/>
      <c r="Z75" s="6"/>
    </row>
    <row r="76" spans="1:26" ht="13.5" customHeight="1">
      <c r="A76" s="16"/>
      <c r="B76" s="16"/>
      <c r="C76" s="16"/>
      <c r="D76" s="16"/>
      <c r="E76" s="16"/>
      <c r="F76" s="16"/>
      <c r="G76" s="16"/>
      <c r="H76" s="16"/>
      <c r="I76" s="16"/>
      <c r="J76" s="16"/>
      <c r="K76" s="16"/>
      <c r="L76" s="16"/>
      <c r="M76" s="16"/>
      <c r="N76" s="16"/>
      <c r="O76" s="16"/>
      <c r="P76" s="16"/>
      <c r="Q76" s="16"/>
      <c r="R76" s="16"/>
      <c r="S76" s="16"/>
      <c r="T76" s="16"/>
      <c r="U76" s="16"/>
      <c r="V76" s="16"/>
      <c r="W76" s="6"/>
      <c r="X76" s="6"/>
      <c r="Y76" s="6"/>
      <c r="Z76" s="6"/>
    </row>
    <row r="77" spans="1:26"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7">
    <mergeCell ref="B31:I31"/>
    <mergeCell ref="B2:F2"/>
    <mergeCell ref="G2:T5"/>
    <mergeCell ref="B3:F3"/>
    <mergeCell ref="B7:I7"/>
    <mergeCell ref="B29:F29"/>
    <mergeCell ref="H29:I29"/>
  </mergeCells>
  <conditionalFormatting sqref="F9:F28">
    <cfRule type="expression" dxfId="12" priority="1">
      <formula>F9="Mensual"</formula>
    </cfRule>
  </conditionalFormatting>
  <pageMargins left="0.75" right="0.75" top="1" bottom="1"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OCTUBRE</t>
        </is>
      </c>
      <c r="C2" s="88"/>
      <c r="D2" s="88"/>
      <c r="E2" s="62">
        <f>'⚙️ Configuración'!C9</f>
        <v>2026</v>
      </c>
      <c r="F2" s="16"/>
      <c r="G2" s="16"/>
      <c r="H2" s="63" t="s">
        <v>216</v>
      </c>
      <c r="I2" s="16"/>
      <c r="J2" s="16"/>
      <c r="K2" s="12"/>
      <c r="L2" s="12"/>
      <c r="M2" s="144" t="inlineStr">
        <is>
          <t>OCTUBRE</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Configuración'!$C$9,10,1),2)-1)+1&gt;=1,0-(WEEKDAY(DATE('⚙️ Configuración'!$C$9,10,1),2)-1)+1&lt;=DAY(EOMONTH(DATE('⚙️ Configuración'!$C$9,10,1),0))),0-(WEEKDAY(DATE('⚙️ Configuración'!$C$9,10,1),2)-1)+1,""),"")</f>
        <v/>
      </c>
      <c r="N4" s="68" t="str">
        <f>IFERROR(IF(AND(1-(WEEKDAY(DATE('⚙️ Configuración'!$C$9,10,1),2)-1)+1&gt;=1,1-(WEEKDAY(DATE('⚙️ Configuración'!$C$9,10,1),2)-1)+1&lt;=DAY(EOMONTH(DATE('⚙️ Configuración'!$C$9,10,1),0))),1-(WEEKDAY(DATE('⚙️ Configuración'!$C$9,10,1),2)-1)+1,""),"")</f>
        <v/>
      </c>
      <c r="O4" s="68" t="str">
        <f>IFERROR(IF(AND(2-(WEEKDAY(DATE('⚙️ Configuración'!$C$9,10,1),2)-1)+1&gt;=1,2-(WEEKDAY(DATE('⚙️ Configuración'!$C$9,10,1),2)-1)+1&lt;=DAY(EOMONTH(DATE('⚙️ Configuración'!$C$9,10,1),0))),2-(WEEKDAY(DATE('⚙️ Configuración'!$C$9,10,1),2)-1)+1,""),"")</f>
        <v/>
      </c>
      <c r="P4" s="68">
        <f>IFERROR(IF(AND(3-(WEEKDAY(DATE('⚙️ Configuración'!$C$9,10,1),2)-1)+1&gt;=1,3-(WEEKDAY(DATE('⚙️ Configuración'!$C$9,10,1),2)-1)+1&lt;=DAY(EOMONTH(DATE('⚙️ Configuración'!$C$9,10,1),0))),3-(WEEKDAY(DATE('⚙️ Configuración'!$C$9,10,1),2)-1)+1,""),"")</f>
        <v>1</v>
      </c>
      <c r="Q4" s="68">
        <f>IFERROR(IF(AND(4-(WEEKDAY(DATE('⚙️ Configuración'!$C$9,10,1),2)-1)+1&gt;=1,4-(WEEKDAY(DATE('⚙️ Configuración'!$C$9,10,1),2)-1)+1&lt;=DAY(EOMONTH(DATE('⚙️ Configuración'!$C$9,10,1),0))),4-(WEEKDAY(DATE('⚙️ Configuración'!$C$9,10,1),2)-1)+1,""),"")</f>
        <v>2</v>
      </c>
      <c r="R4" s="68">
        <f>IFERROR(IF(AND(5-(WEEKDAY(DATE('⚙️ Configuración'!$C$9,10,1),2)-1)+1&gt;=1,5-(WEEKDAY(DATE('⚙️ Configuración'!$C$9,10,1),2)-1)+1&lt;=DAY(EOMONTH(DATE('⚙️ Configuración'!$C$9,10,1),0))),5-(WEEKDAY(DATE('⚙️ Configuración'!$C$9,10,1),2)-1)+1,""),"")</f>
        <v>3</v>
      </c>
      <c r="S4" s="68">
        <f>IFERROR(IF(AND(6-(WEEKDAY(DATE('⚙️ Configuración'!$C$9,10,1),2)-1)+1&gt;=1,6-(WEEKDAY(DATE('⚙️ Configuración'!$C$9,10,1),2)-1)+1&lt;=DAY(EOMONTH(DATE('⚙️ Configuración'!$C$9,10,1),0))),6-(WEEKDAY(DATE('⚙️ Configuración'!$C$9,10,1),2)-1)+1,""),"")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Configuración'!$C$9,10,1),2)-1)+1&gt;=1,7-(WEEKDAY(DATE('⚙️ Configuración'!$C$9,10,1),2)-1)+1&lt;=DAY(EOMONTH(DATE('⚙️ Configuración'!$C$9,10,1),0))),7-(WEEKDAY(DATE('⚙️ Configuración'!$C$9,10,1),2)-1)+1,""),"")</f>
        <v>5</v>
      </c>
      <c r="N5" s="68">
        <f>IFERROR(IF(AND(8-(WEEKDAY(DATE('⚙️ Configuración'!$C$9,10,1),2)-1)+1&gt;=1,8-(WEEKDAY(DATE('⚙️ Configuración'!$C$9,10,1),2)-1)+1&lt;=DAY(EOMONTH(DATE('⚙️ Configuración'!$C$9,10,1),0))),8-(WEEKDAY(DATE('⚙️ Configuración'!$C$9,10,1),2)-1)+1,""),"")</f>
        <v>6</v>
      </c>
      <c r="O5" s="68">
        <f>IFERROR(IF(AND(9-(WEEKDAY(DATE('⚙️ Configuración'!$C$9,10,1),2)-1)+1&gt;=1,9-(WEEKDAY(DATE('⚙️ Configuración'!$C$9,10,1),2)-1)+1&lt;=DAY(EOMONTH(DATE('⚙️ Configuración'!$C$9,10,1),0))),9-(WEEKDAY(DATE('⚙️ Configuración'!$C$9,10,1),2)-1)+1,""),"")</f>
        <v>7</v>
      </c>
      <c r="P5" s="68">
        <f>IFERROR(IF(AND(10-(WEEKDAY(DATE('⚙️ Configuración'!$C$9,10,1),2)-1)+1&gt;=1,10-(WEEKDAY(DATE('⚙️ Configuración'!$C$9,10,1),2)-1)+1&lt;=DAY(EOMONTH(DATE('⚙️ Configuración'!$C$9,10,1),0))),10-(WEEKDAY(DATE('⚙️ Configuración'!$C$9,10,1),2)-1)+1,""),"")</f>
        <v>8</v>
      </c>
      <c r="Q5" s="68">
        <f>IFERROR(IF(AND(11-(WEEKDAY(DATE('⚙️ Configuración'!$C$9,10,1),2)-1)+1&gt;=1,11-(WEEKDAY(DATE('⚙️ Configuración'!$C$9,10,1),2)-1)+1&lt;=DAY(EOMONTH(DATE('⚙️ Configuración'!$C$9,10,1),0))),11-(WEEKDAY(DATE('⚙️ Configuración'!$C$9,10,1),2)-1)+1,""),"")</f>
        <v>9</v>
      </c>
      <c r="R5" s="68">
        <f>IFERROR(IF(AND(12-(WEEKDAY(DATE('⚙️ Configuración'!$C$9,10,1),2)-1)+1&gt;=1,12-(WEEKDAY(DATE('⚙️ Configuración'!$C$9,10,1),2)-1)+1&lt;=DAY(EOMONTH(DATE('⚙️ Configuración'!$C$9,10,1),0))),12-(WEEKDAY(DATE('⚙️ Configuración'!$C$9,10,1),2)-1)+1,""),"")</f>
        <v>10</v>
      </c>
      <c r="S5" s="68">
        <f>IFERROR(IF(AND(13-(WEEKDAY(DATE('⚙️ Configuración'!$C$9,10,1),2)-1)+1&gt;=1,13-(WEEKDAY(DATE('⚙️ Configuración'!$C$9,10,1),2)-1)+1&lt;=DAY(EOMONTH(DATE('⚙️ Configuración'!$C$9,10,1),0))),13-(WEEKDAY(DATE('⚙️ Configuración'!$C$9,10,1),2)-1)+1,""),"")</f>
        <v>11</v>
      </c>
      <c r="T5" s="6"/>
      <c r="U5" s="6"/>
      <c r="V5" s="16"/>
      <c r="W5" s="16"/>
      <c r="X5" s="16"/>
      <c r="Y5" s="28" t="s">
        <v>153</v>
      </c>
      <c r="Z5" s="67">
        <f t="shared" ref="Z5:AA5" si="2">E44</f>
        <v>0</v>
      </c>
      <c r="AA5" s="67">
        <f t="shared" si="2"/>
        <v>0</v>
      </c>
      <c r="AB5" s="16"/>
    </row>
    <row r="6" spans="1:28" ht="16.5" customHeight="1">
      <c r="A6" s="16"/>
      <c r="B6" s="153" t="str">
        <f>IF(SUM(F11:F52)=0,"📝  Octubre todavía no tiene datos. Empezá por la columna Real","✅  Mes cargado. Todos los cálculos se actualizan solos")</f>
        <v>📝  Octubre todavía no tiene datos. Empezá por la columna Real</v>
      </c>
      <c r="C6" s="88"/>
      <c r="D6" s="88"/>
      <c r="E6" s="88"/>
      <c r="F6" s="88"/>
      <c r="G6" s="88"/>
      <c r="H6" s="88"/>
      <c r="I6" s="16"/>
      <c r="J6" s="16"/>
      <c r="K6" s="12"/>
      <c r="L6" s="12"/>
      <c r="M6" s="68">
        <f>IFERROR(IF(AND(14-(WEEKDAY(DATE('⚙️ Configuración'!$C$9,10,1),2)-1)+1&gt;=1,14-(WEEKDAY(DATE('⚙️ Configuración'!$C$9,10,1),2)-1)+1&lt;=DAY(EOMONTH(DATE('⚙️ Configuración'!$C$9,10,1),0))),14-(WEEKDAY(DATE('⚙️ Configuración'!$C$9,10,1),2)-1)+1,""),"")</f>
        <v>12</v>
      </c>
      <c r="N6" s="68">
        <f>IFERROR(IF(AND(15-(WEEKDAY(DATE('⚙️ Configuración'!$C$9,10,1),2)-1)+1&gt;=1,15-(WEEKDAY(DATE('⚙️ Configuración'!$C$9,10,1),2)-1)+1&lt;=DAY(EOMONTH(DATE('⚙️ Configuración'!$C$9,10,1),0))),15-(WEEKDAY(DATE('⚙️ Configuración'!$C$9,10,1),2)-1)+1,""),"")</f>
        <v>13</v>
      </c>
      <c r="O6" s="68">
        <f>IFERROR(IF(AND(16-(WEEKDAY(DATE('⚙️ Configuración'!$C$9,10,1),2)-1)+1&gt;=1,16-(WEEKDAY(DATE('⚙️ Configuración'!$C$9,10,1),2)-1)+1&lt;=DAY(EOMONTH(DATE('⚙️ Configuración'!$C$9,10,1),0))),16-(WEEKDAY(DATE('⚙️ Configuración'!$C$9,10,1),2)-1)+1,""),"")</f>
        <v>14</v>
      </c>
      <c r="P6" s="68">
        <f>IFERROR(IF(AND(17-(WEEKDAY(DATE('⚙️ Configuración'!$C$9,10,1),2)-1)+1&gt;=1,17-(WEEKDAY(DATE('⚙️ Configuración'!$C$9,10,1),2)-1)+1&lt;=DAY(EOMONTH(DATE('⚙️ Configuración'!$C$9,10,1),0))),17-(WEEKDAY(DATE('⚙️ Configuración'!$C$9,10,1),2)-1)+1,""),"")</f>
        <v>15</v>
      </c>
      <c r="Q6" s="68">
        <f>IFERROR(IF(AND(18-(WEEKDAY(DATE('⚙️ Configuración'!$C$9,10,1),2)-1)+1&gt;=1,18-(WEEKDAY(DATE('⚙️ Configuración'!$C$9,10,1),2)-1)+1&lt;=DAY(EOMONTH(DATE('⚙️ Configuración'!$C$9,10,1),0))),18-(WEEKDAY(DATE('⚙️ Configuración'!$C$9,10,1),2)-1)+1,""),"")</f>
        <v>16</v>
      </c>
      <c r="R6" s="68">
        <f>IFERROR(IF(AND(19-(WEEKDAY(DATE('⚙️ Configuración'!$C$9,10,1),2)-1)+1&gt;=1,19-(WEEKDAY(DATE('⚙️ Configuración'!$C$9,10,1),2)-1)+1&lt;=DAY(EOMONTH(DATE('⚙️ Configuración'!$C$9,10,1),0))),19-(WEEKDAY(DATE('⚙️ Configuración'!$C$9,10,1),2)-1)+1,""),"")</f>
        <v>17</v>
      </c>
      <c r="S6" s="68">
        <f>IFERROR(IF(AND(20-(WEEKDAY(DATE('⚙️ Configuración'!$C$9,10,1),2)-1)+1&gt;=1,20-(WEEKDAY(DATE('⚙️ Configuración'!$C$9,10,1),2)-1)+1&lt;=DAY(EOMONTH(DATE('⚙️ Configuración'!$C$9,10,1),0))),20-(WEEKDAY(DATE('⚙️ Configuración'!$C$9,10,1),2)-1)+1,""),"")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Configuración'!$C$9,10,1),2)-1)+1&gt;=1,21-(WEEKDAY(DATE('⚙️ Configuración'!$C$9,10,1),2)-1)+1&lt;=DAY(EOMONTH(DATE('⚙️ Configuración'!$C$9,10,1),0))),21-(WEEKDAY(DATE('⚙️ Configuración'!$C$9,10,1),2)-1)+1,""),"")</f>
        <v>19</v>
      </c>
      <c r="N7" s="68">
        <f>IFERROR(IF(AND(22-(WEEKDAY(DATE('⚙️ Configuración'!$C$9,10,1),2)-1)+1&gt;=1,22-(WEEKDAY(DATE('⚙️ Configuración'!$C$9,10,1),2)-1)+1&lt;=DAY(EOMONTH(DATE('⚙️ Configuración'!$C$9,10,1),0))),22-(WEEKDAY(DATE('⚙️ Configuración'!$C$9,10,1),2)-1)+1,""),"")</f>
        <v>20</v>
      </c>
      <c r="O7" s="68">
        <f>IFERROR(IF(AND(23-(WEEKDAY(DATE('⚙️ Configuración'!$C$9,10,1),2)-1)+1&gt;=1,23-(WEEKDAY(DATE('⚙️ Configuración'!$C$9,10,1),2)-1)+1&lt;=DAY(EOMONTH(DATE('⚙️ Configuración'!$C$9,10,1),0))),23-(WEEKDAY(DATE('⚙️ Configuración'!$C$9,10,1),2)-1)+1,""),"")</f>
        <v>21</v>
      </c>
      <c r="P7" s="68">
        <f>IFERROR(IF(AND(24-(WEEKDAY(DATE('⚙️ Configuración'!$C$9,10,1),2)-1)+1&gt;=1,24-(WEEKDAY(DATE('⚙️ Configuración'!$C$9,10,1),2)-1)+1&lt;=DAY(EOMONTH(DATE('⚙️ Configuración'!$C$9,10,1),0))),24-(WEEKDAY(DATE('⚙️ Configuración'!$C$9,10,1),2)-1)+1,""),"")</f>
        <v>22</v>
      </c>
      <c r="Q7" s="68">
        <f>IFERROR(IF(AND(25-(WEEKDAY(DATE('⚙️ Configuración'!$C$9,10,1),2)-1)+1&gt;=1,25-(WEEKDAY(DATE('⚙️ Configuración'!$C$9,10,1),2)-1)+1&lt;=DAY(EOMONTH(DATE('⚙️ Configuración'!$C$9,10,1),0))),25-(WEEKDAY(DATE('⚙️ Configuración'!$C$9,10,1),2)-1)+1,""),"")</f>
        <v>23</v>
      </c>
      <c r="R7" s="68">
        <f>IFERROR(IF(AND(26-(WEEKDAY(DATE('⚙️ Configuración'!$C$9,10,1),2)-1)+1&gt;=1,26-(WEEKDAY(DATE('⚙️ Configuración'!$C$9,10,1),2)-1)+1&lt;=DAY(EOMONTH(DATE('⚙️ Configuración'!$C$9,10,1),0))),26-(WEEKDAY(DATE('⚙️ Configuración'!$C$9,10,1),2)-1)+1,""),"")</f>
        <v>24</v>
      </c>
      <c r="S7" s="68">
        <f>IFERROR(IF(AND(27-(WEEKDAY(DATE('⚙️ Configuración'!$C$9,10,1),2)-1)+1&gt;=1,27-(WEEKDAY(DATE('⚙️ Configuración'!$C$9,10,1),2)-1)+1&lt;=DAY(EOMONTH(DATE('⚙️ Configuración'!$C$9,10,1),0))),27-(WEEKDAY(DATE('⚙️ Configuración'!$C$9,10,1),2)-1)+1,""),"")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Configuración'!$C$9,10,1),2)-1)+1&gt;=1,28-(WEEKDAY(DATE('⚙️ Configuración'!$C$9,10,1),2)-1)+1&lt;=DAY(EOMONTH(DATE('⚙️ Configuración'!$C$9,10,1),0))),28-(WEEKDAY(DATE('⚙️ Configuración'!$C$9,10,1),2)-1)+1,""),"")</f>
        <v>26</v>
      </c>
      <c r="N8" s="68">
        <f>IFERROR(IF(AND(29-(WEEKDAY(DATE('⚙️ Configuración'!$C$9,10,1),2)-1)+1&gt;=1,29-(WEEKDAY(DATE('⚙️ Configuración'!$C$9,10,1),2)-1)+1&lt;=DAY(EOMONTH(DATE('⚙️ Configuración'!$C$9,10,1),0))),29-(WEEKDAY(DATE('⚙️ Configuración'!$C$9,10,1),2)-1)+1,""),"")</f>
        <v>27</v>
      </c>
      <c r="O8" s="68">
        <f>IFERROR(IF(AND(30-(WEEKDAY(DATE('⚙️ Configuración'!$C$9,10,1),2)-1)+1&gt;=1,30-(WEEKDAY(DATE('⚙️ Configuración'!$C$9,10,1),2)-1)+1&lt;=DAY(EOMONTH(DATE('⚙️ Configuración'!$C$9,10,1),0))),30-(WEEKDAY(DATE('⚙️ Configuración'!$C$9,10,1),2)-1)+1,""),"")</f>
        <v>28</v>
      </c>
      <c r="P8" s="68">
        <f>IFERROR(IF(AND(31-(WEEKDAY(DATE('⚙️ Configuración'!$C$9,10,1),2)-1)+1&gt;=1,31-(WEEKDAY(DATE('⚙️ Configuración'!$C$9,10,1),2)-1)+1&lt;=DAY(EOMONTH(DATE('⚙️ Configuración'!$C$9,10,1),0))),31-(WEEKDAY(DATE('⚙️ Configuración'!$C$9,10,1),2)-1)+1,""),"")</f>
        <v>29</v>
      </c>
      <c r="Q8" s="68">
        <f>IFERROR(IF(AND(32-(WEEKDAY(DATE('⚙️ Configuración'!$C$9,10,1),2)-1)+1&gt;=1,32-(WEEKDAY(DATE('⚙️ Configuración'!$C$9,10,1),2)-1)+1&lt;=DAY(EOMONTH(DATE('⚙️ Configuración'!$C$9,10,1),0))),32-(WEEKDAY(DATE('⚙️ Configuración'!$C$9,10,1),2)-1)+1,""),"")</f>
        <v>30</v>
      </c>
      <c r="R8" s="68">
        <f>IFERROR(IF(AND(33-(WEEKDAY(DATE('⚙️ Configuración'!$C$9,10,1),2)-1)+1&gt;=1,33-(WEEKDAY(DATE('⚙️ Configuración'!$C$9,10,1),2)-1)+1&lt;=DAY(EOMONTH(DATE('⚙️ Configuración'!$C$9,10,1),0))),33-(WEEKDAY(DATE('⚙️ Configuración'!$C$9,10,1),2)-1)+1,""),"")</f>
        <v>31</v>
      </c>
      <c r="S8" s="68" t="str">
        <f>IFERROR(IF(AND(34-(WEEKDAY(DATE('⚙️ Configuración'!$C$9,10,1),2)-1)+1&gt;=1,34-(WEEKDAY(DATE('⚙️ Configuración'!$C$9,10,1),2)-1)+1&lt;=DAY(EOMONTH(DATE('⚙️ Configuración'!$C$9,10,1),0))),34-(WEEKDAY(DATE('⚙️ Configuración'!$C$9,10,1),2)-1)+1,""),"")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Configuración'!$C$9,10,1),2)-1)+1&gt;=1,35-(WEEKDAY(DATE('⚙️ Configuración'!$C$9,10,1),2)-1)+1&lt;=DAY(EOMONTH(DATE('⚙️ Configuración'!$C$9,10,1),0))),35-(WEEKDAY(DATE('⚙️ Configuración'!$C$9,10,1),2)-1)+1,""),"")</f>
        <v/>
      </c>
      <c r="N9" s="68" t="str">
        <f>IFERROR(IF(AND(36-(WEEKDAY(DATE('⚙️ Configuración'!$C$9,10,1),2)-1)+1&gt;=1,36-(WEEKDAY(DATE('⚙️ Configuración'!$C$9,10,1),2)-1)+1&lt;=DAY(EOMONTH(DATE('⚙️ Configuración'!$C$9,10,1),0))),36-(WEEKDAY(DATE('⚙️ Configuración'!$C$9,10,1),2)-1)+1,""),"")</f>
        <v/>
      </c>
      <c r="O9" s="68" t="str">
        <f>IFERROR(IF(AND(37-(WEEKDAY(DATE('⚙️ Configuración'!$C$9,10,1),2)-1)+1&gt;=1,37-(WEEKDAY(DATE('⚙️ Configuración'!$C$9,10,1),2)-1)+1&lt;=DAY(EOMONTH(DATE('⚙️ Configuración'!$C$9,10,1),0))),37-(WEEKDAY(DATE('⚙️ Configuración'!$C$9,10,1),2)-1)+1,""),"")</f>
        <v/>
      </c>
      <c r="P9" s="68" t="str">
        <f>IFERROR(IF(AND(38-(WEEKDAY(DATE('⚙️ Configuración'!$C$9,10,1),2)-1)+1&gt;=1,38-(WEEKDAY(DATE('⚙️ Configuración'!$C$9,10,1),2)-1)+1&lt;=DAY(EOMONTH(DATE('⚙️ Configuración'!$C$9,10,1),0))),38-(WEEKDAY(DATE('⚙️ Configuración'!$C$9,10,1),2)-1)+1,""),"")</f>
        <v/>
      </c>
      <c r="Q9" s="68" t="str">
        <f>IFERROR(IF(AND(39-(WEEKDAY(DATE('⚙️ Configuración'!$C$9,10,1),2)-1)+1&gt;=1,39-(WEEKDAY(DATE('⚙️ Configuración'!$C$9,10,1),2)-1)+1&lt;=DAY(EOMONTH(DATE('⚙️ Configuración'!$C$9,10,1),0))),39-(WEEKDAY(DATE('⚙️ Configuración'!$C$9,10,1),2)-1)+1,""),"")</f>
        <v/>
      </c>
      <c r="R9" s="68" t="str">
        <f>IFERROR(IF(AND(40-(WEEKDAY(DATE('⚙️ Configuración'!$C$9,10,1),2)-1)+1&gt;=1,40-(WEEKDAY(DATE('⚙️ Configuración'!$C$9,10,1),2)-1)+1&lt;=DAY(EOMONTH(DATE('⚙️ Configuración'!$C$9,10,1),0))),40-(WEEKDAY(DATE('⚙️ Configuración'!$C$9,10,1),2)-1)+1,""),"")</f>
        <v/>
      </c>
      <c r="S9" s="68" t="str">
        <f>IFERROR(IF(AND(41-(WEEKDAY(DATE('⚙️ Configuración'!$C$9,10,1),2)-1)+1&gt;=1,41-(WEEKDAY(DATE('⚙️ Configuración'!$C$9,10,1),2)-1)+1&lt;=DAY(EOMONTH(DATE('⚙️ Configuración'!$C$9,10,1),0))),41-(WEEKDAY(DATE('⚙️ Configuración'!$C$9,10,1),2)-1)+1,""),"")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A8C7E"/>
  </sheetPr>
  <dimension ref="A1:Z1000"/>
  <sheetViews>
    <sheetView showGridLines="0" workbookViewId="0"/>
  </sheetViews>
  <sheetFormatPr baseColWidth="10" defaultColWidth="12.59765625" defaultRowHeight="15" customHeight="1"/>
  <cols>
    <col min="1" max="1" width="2" customWidth="1"/>
    <col min="2" max="2" width="5" customWidth="1"/>
    <col min="3" max="3" width="21.3984375" customWidth="1"/>
    <col min="4" max="4" width="21.5" customWidth="1"/>
    <col min="5" max="5" width="18.59765625" customWidth="1"/>
    <col min="6" max="6" width="16.59765625" customWidth="1"/>
    <col min="7" max="7" width="10.69921875" customWidth="1"/>
    <col min="8" max="8" width="11" customWidth="1"/>
    <col min="9" max="9" width="12.19921875" customWidth="1"/>
    <col min="10" max="10" width="25.19921875" customWidth="1"/>
    <col min="11" max="11" width="4" customWidth="1"/>
    <col min="12" max="22" width="8.69921875" customWidth="1"/>
    <col min="23" max="26" width="14.3984375" customWidth="1"/>
  </cols>
  <sheetData>
    <row r="1" spans="1:26" ht="6" customHeight="1">
      <c r="A1" s="7"/>
      <c r="B1" s="7"/>
      <c r="C1" s="7"/>
      <c r="D1" s="7"/>
      <c r="E1" s="7"/>
      <c r="F1" s="7"/>
      <c r="G1" s="7"/>
      <c r="H1" s="7"/>
      <c r="I1" s="7"/>
      <c r="J1" s="7"/>
      <c r="K1" s="7"/>
      <c r="L1" s="7"/>
      <c r="M1" s="7"/>
      <c r="N1" s="7"/>
      <c r="O1" s="7"/>
      <c r="P1" s="7"/>
      <c r="Q1" s="7"/>
      <c r="R1" s="7"/>
      <c r="S1" s="7"/>
      <c r="T1" s="7"/>
      <c r="U1" s="7"/>
      <c r="V1" s="8"/>
      <c r="W1" s="6"/>
      <c r="X1" s="6"/>
      <c r="Y1" s="6"/>
      <c r="Z1" s="6"/>
    </row>
    <row r="2" spans="1:26" ht="21.75" customHeight="1">
      <c r="A2" s="7"/>
      <c r="B2" s="118" t="s">
        <v>244</v>
      </c>
      <c r="C2" s="88"/>
      <c r="D2" s="88"/>
      <c r="E2" s="88"/>
      <c r="F2" s="88"/>
      <c r="G2" s="119" t="s">
        <v>245</v>
      </c>
      <c r="H2" s="109"/>
      <c r="I2" s="109"/>
      <c r="J2" s="109"/>
      <c r="K2" s="109"/>
      <c r="L2" s="109"/>
      <c r="M2" s="109"/>
      <c r="N2" s="109"/>
      <c r="O2" s="109"/>
      <c r="P2" s="109"/>
      <c r="Q2" s="109"/>
      <c r="R2" s="109"/>
      <c r="S2" s="109"/>
      <c r="T2" s="109"/>
      <c r="U2" s="7"/>
      <c r="V2" s="8"/>
      <c r="W2" s="6"/>
      <c r="X2" s="6"/>
      <c r="Y2" s="6"/>
      <c r="Z2" s="6"/>
    </row>
    <row r="3" spans="1:26" ht="15.75" customHeight="1">
      <c r="A3" s="7"/>
      <c r="B3" s="87" t="s">
        <v>24</v>
      </c>
      <c r="C3" s="88"/>
      <c r="D3" s="88"/>
      <c r="E3" s="88"/>
      <c r="F3" s="88"/>
      <c r="G3" s="110"/>
      <c r="H3" s="111"/>
      <c r="I3" s="111"/>
      <c r="J3" s="111"/>
      <c r="K3" s="111"/>
      <c r="L3" s="111"/>
      <c r="M3" s="111"/>
      <c r="N3" s="111"/>
      <c r="O3" s="111"/>
      <c r="P3" s="111"/>
      <c r="Q3" s="111"/>
      <c r="R3" s="111"/>
      <c r="S3" s="111"/>
      <c r="T3" s="111"/>
      <c r="U3" s="7"/>
      <c r="V3" s="8"/>
      <c r="W3" s="6"/>
      <c r="X3" s="6"/>
      <c r="Y3" s="6"/>
      <c r="Z3" s="6"/>
    </row>
    <row r="4" spans="1:26" ht="6" customHeight="1">
      <c r="A4" s="7"/>
      <c r="B4" s="7"/>
      <c r="C4" s="7"/>
      <c r="D4" s="7"/>
      <c r="E4" s="7"/>
      <c r="F4" s="7"/>
      <c r="G4" s="110"/>
      <c r="H4" s="111"/>
      <c r="I4" s="111"/>
      <c r="J4" s="111"/>
      <c r="K4" s="111"/>
      <c r="L4" s="111"/>
      <c r="M4" s="111"/>
      <c r="N4" s="111"/>
      <c r="O4" s="111"/>
      <c r="P4" s="111"/>
      <c r="Q4" s="111"/>
      <c r="R4" s="111"/>
      <c r="S4" s="111"/>
      <c r="T4" s="111"/>
      <c r="U4" s="1"/>
      <c r="V4" s="6"/>
      <c r="W4" s="6"/>
      <c r="X4" s="6"/>
      <c r="Y4" s="6"/>
      <c r="Z4" s="6"/>
    </row>
    <row r="5" spans="1:26" ht="31.5" customHeight="1">
      <c r="A5" s="7"/>
      <c r="B5" s="7"/>
      <c r="C5" s="7"/>
      <c r="D5" s="7"/>
      <c r="E5" s="7"/>
      <c r="F5" s="7"/>
      <c r="G5" s="110"/>
      <c r="H5" s="111"/>
      <c r="I5" s="111"/>
      <c r="J5" s="111"/>
      <c r="K5" s="111"/>
      <c r="L5" s="111"/>
      <c r="M5" s="111"/>
      <c r="N5" s="111"/>
      <c r="O5" s="111"/>
      <c r="P5" s="111"/>
      <c r="Q5" s="111"/>
      <c r="R5" s="111"/>
      <c r="S5" s="111"/>
      <c r="T5" s="111"/>
      <c r="U5" s="7"/>
      <c r="V5" s="12"/>
      <c r="W5" s="6"/>
      <c r="X5" s="6"/>
      <c r="Y5" s="6"/>
      <c r="Z5" s="6"/>
    </row>
    <row r="6" spans="1:26" ht="12" customHeight="1">
      <c r="A6" s="16"/>
      <c r="B6" s="17"/>
      <c r="C6" s="17"/>
      <c r="D6" s="17"/>
      <c r="E6" s="17"/>
      <c r="F6" s="17"/>
      <c r="G6" s="17"/>
      <c r="H6" s="17"/>
      <c r="I6" s="16"/>
      <c r="J6" s="16"/>
      <c r="K6" s="16"/>
      <c r="L6" s="16"/>
      <c r="M6" s="16"/>
      <c r="N6" s="16"/>
      <c r="O6" s="16"/>
      <c r="P6" s="16"/>
      <c r="Q6" s="16"/>
      <c r="R6" s="16"/>
      <c r="S6" s="16"/>
      <c r="T6" s="16"/>
      <c r="U6" s="16"/>
      <c r="V6" s="6"/>
      <c r="W6" s="6"/>
      <c r="X6" s="6"/>
      <c r="Y6" s="6"/>
      <c r="Z6" s="6"/>
    </row>
    <row r="7" spans="1:26" ht="21.75" customHeight="1">
      <c r="A7" s="16"/>
      <c r="B7" s="129" t="s">
        <v>246</v>
      </c>
      <c r="C7" s="88"/>
      <c r="D7" s="88"/>
      <c r="E7" s="88"/>
      <c r="F7" s="88"/>
      <c r="G7" s="88"/>
      <c r="H7" s="88"/>
      <c r="I7" s="88"/>
      <c r="J7" s="88"/>
      <c r="K7" s="16"/>
      <c r="L7" s="16"/>
      <c r="M7" s="16"/>
      <c r="N7" s="16"/>
      <c r="O7" s="16"/>
      <c r="P7" s="16"/>
      <c r="Q7" s="16"/>
      <c r="R7" s="16"/>
      <c r="S7" s="16"/>
      <c r="T7" s="16"/>
      <c r="U7" s="16"/>
      <c r="V7" s="6"/>
      <c r="W7" s="6"/>
      <c r="X7" s="6"/>
      <c r="Y7" s="6"/>
      <c r="Z7" s="6"/>
    </row>
    <row r="8" spans="1:26" ht="28.5" customHeight="1">
      <c r="A8" s="16"/>
      <c r="B8" s="31" t="s">
        <v>181</v>
      </c>
      <c r="C8" s="31" t="s">
        <v>154</v>
      </c>
      <c r="D8" s="31" t="s">
        <v>247</v>
      </c>
      <c r="E8" s="31" t="s">
        <v>248</v>
      </c>
      <c r="F8" s="31" t="s">
        <v>249</v>
      </c>
      <c r="G8" s="31" t="s">
        <v>250</v>
      </c>
      <c r="H8" s="31" t="s">
        <v>251</v>
      </c>
      <c r="I8" s="31" t="s">
        <v>252</v>
      </c>
      <c r="J8" s="31" t="s">
        <v>243</v>
      </c>
      <c r="K8" s="16"/>
      <c r="L8" s="16"/>
      <c r="M8" s="16"/>
      <c r="N8" s="16"/>
      <c r="O8" s="16"/>
      <c r="P8" s="16"/>
      <c r="Q8" s="16"/>
      <c r="R8" s="16"/>
      <c r="S8" s="16"/>
      <c r="T8" s="16"/>
      <c r="U8" s="16"/>
      <c r="V8" s="6"/>
      <c r="W8" s="6"/>
      <c r="X8" s="6"/>
      <c r="Y8" s="6"/>
      <c r="Z8" s="6"/>
    </row>
    <row r="9" spans="1:26" ht="32.25" customHeight="1">
      <c r="A9" s="16"/>
      <c r="B9" s="48">
        <v>1</v>
      </c>
      <c r="C9" s="80"/>
      <c r="D9" s="81"/>
      <c r="E9" s="81"/>
      <c r="F9" s="81"/>
      <c r="G9" s="82"/>
      <c r="H9" s="82"/>
      <c r="I9" s="85"/>
      <c r="J9" s="80"/>
      <c r="K9" s="16"/>
      <c r="L9" s="16"/>
      <c r="M9" s="16"/>
      <c r="N9" s="16"/>
      <c r="O9" s="16"/>
      <c r="P9" s="16"/>
      <c r="Q9" s="16"/>
      <c r="R9" s="16"/>
      <c r="S9" s="16"/>
      <c r="T9" s="16"/>
      <c r="U9" s="16"/>
      <c r="V9" s="6"/>
      <c r="W9" s="6"/>
      <c r="X9" s="6"/>
      <c r="Y9" s="6"/>
      <c r="Z9" s="6"/>
    </row>
    <row r="10" spans="1:26" ht="24" customHeight="1">
      <c r="A10" s="16"/>
      <c r="B10" s="48">
        <v>2</v>
      </c>
      <c r="C10" s="80"/>
      <c r="D10" s="81"/>
      <c r="E10" s="81"/>
      <c r="F10" s="81"/>
      <c r="G10" s="82"/>
      <c r="H10" s="82"/>
      <c r="I10" s="85"/>
      <c r="J10" s="80"/>
      <c r="K10" s="16"/>
      <c r="L10" s="16"/>
      <c r="M10" s="16"/>
      <c r="N10" s="16"/>
      <c r="O10" s="16"/>
      <c r="P10" s="16"/>
      <c r="Q10" s="16"/>
      <c r="R10" s="16"/>
      <c r="S10" s="16"/>
      <c r="T10" s="16"/>
      <c r="U10" s="16"/>
      <c r="V10" s="6"/>
      <c r="W10" s="6"/>
      <c r="X10" s="6"/>
      <c r="Y10" s="6"/>
      <c r="Z10" s="6"/>
    </row>
    <row r="11" spans="1:26" ht="35.25" customHeight="1">
      <c r="A11" s="16"/>
      <c r="B11" s="48">
        <v>3</v>
      </c>
      <c r="C11" s="80"/>
      <c r="D11" s="81"/>
      <c r="E11" s="81"/>
      <c r="F11" s="81"/>
      <c r="G11" s="82"/>
      <c r="H11" s="82"/>
      <c r="I11" s="85"/>
      <c r="J11" s="80"/>
      <c r="K11" s="16"/>
      <c r="L11" s="16"/>
      <c r="M11" s="16"/>
      <c r="N11" s="16"/>
      <c r="O11" s="16"/>
      <c r="P11" s="16"/>
      <c r="Q11" s="16"/>
      <c r="R11" s="16"/>
      <c r="S11" s="16"/>
      <c r="T11" s="16"/>
      <c r="U11" s="16"/>
      <c r="V11" s="6"/>
      <c r="W11" s="6"/>
      <c r="X11" s="6"/>
      <c r="Y11" s="6"/>
      <c r="Z11" s="6"/>
    </row>
    <row r="12" spans="1:26" ht="20.25" customHeight="1">
      <c r="A12" s="16"/>
      <c r="B12" s="48">
        <v>4</v>
      </c>
      <c r="C12" s="80"/>
      <c r="D12" s="81"/>
      <c r="E12" s="81"/>
      <c r="F12" s="81"/>
      <c r="G12" s="82"/>
      <c r="H12" s="82"/>
      <c r="I12" s="85"/>
      <c r="J12" s="80"/>
      <c r="K12" s="16"/>
      <c r="L12" s="16"/>
      <c r="M12" s="16"/>
      <c r="N12" s="16"/>
      <c r="O12" s="16"/>
      <c r="P12" s="16"/>
      <c r="Q12" s="16"/>
      <c r="R12" s="16"/>
      <c r="S12" s="16"/>
      <c r="T12" s="16"/>
      <c r="U12" s="16"/>
      <c r="V12" s="6"/>
      <c r="W12" s="6"/>
      <c r="X12" s="6"/>
      <c r="Y12" s="6"/>
      <c r="Z12" s="6"/>
    </row>
    <row r="13" spans="1:26" ht="20.25" customHeight="1">
      <c r="A13" s="16"/>
      <c r="B13" s="48">
        <v>5</v>
      </c>
      <c r="C13" s="80"/>
      <c r="D13" s="81"/>
      <c r="E13" s="81"/>
      <c r="F13" s="81"/>
      <c r="G13" s="82"/>
      <c r="H13" s="82"/>
      <c r="I13" s="85"/>
      <c r="J13" s="80"/>
      <c r="K13" s="16"/>
      <c r="L13" s="16"/>
      <c r="M13" s="16"/>
      <c r="N13" s="16"/>
      <c r="O13" s="16"/>
      <c r="P13" s="16"/>
      <c r="Q13" s="16"/>
      <c r="R13" s="16"/>
      <c r="S13" s="16"/>
      <c r="T13" s="16"/>
      <c r="U13" s="16"/>
      <c r="V13" s="6"/>
      <c r="W13" s="6"/>
      <c r="X13" s="6"/>
      <c r="Y13" s="6"/>
      <c r="Z13" s="6"/>
    </row>
    <row r="14" spans="1:26" ht="20.25" customHeight="1">
      <c r="A14" s="16"/>
      <c r="B14" s="48">
        <v>6</v>
      </c>
      <c r="C14" s="80"/>
      <c r="D14" s="81"/>
      <c r="E14" s="81"/>
      <c r="F14" s="81"/>
      <c r="G14" s="82"/>
      <c r="H14" s="82"/>
      <c r="I14" s="85"/>
      <c r="J14" s="80"/>
      <c r="K14" s="16"/>
      <c r="L14" s="16"/>
      <c r="M14" s="16"/>
      <c r="N14" s="16"/>
      <c r="O14" s="16"/>
      <c r="P14" s="16"/>
      <c r="Q14" s="16"/>
      <c r="R14" s="16"/>
      <c r="S14" s="16"/>
      <c r="T14" s="16"/>
      <c r="U14" s="16"/>
      <c r="V14" s="6"/>
      <c r="W14" s="6"/>
      <c r="X14" s="6"/>
      <c r="Y14" s="6"/>
      <c r="Z14" s="6"/>
    </row>
    <row r="15" spans="1:26" ht="20.25" customHeight="1">
      <c r="A15" s="16"/>
      <c r="B15" s="48">
        <v>7</v>
      </c>
      <c r="C15" s="80"/>
      <c r="D15" s="81"/>
      <c r="E15" s="81"/>
      <c r="F15" s="81"/>
      <c r="G15" s="82"/>
      <c r="H15" s="82"/>
      <c r="I15" s="85"/>
      <c r="J15" s="80"/>
      <c r="K15" s="16"/>
      <c r="L15" s="16"/>
      <c r="M15" s="16"/>
      <c r="N15" s="16"/>
      <c r="O15" s="16"/>
      <c r="P15" s="16"/>
      <c r="Q15" s="16"/>
      <c r="R15" s="16"/>
      <c r="S15" s="16"/>
      <c r="T15" s="16"/>
      <c r="U15" s="16"/>
      <c r="V15" s="6"/>
      <c r="W15" s="6"/>
      <c r="X15" s="6"/>
      <c r="Y15" s="6"/>
      <c r="Z15" s="6"/>
    </row>
    <row r="16" spans="1:26" ht="20.25" customHeight="1">
      <c r="A16" s="16"/>
      <c r="B16" s="48">
        <v>8</v>
      </c>
      <c r="C16" s="80"/>
      <c r="D16" s="81"/>
      <c r="E16" s="81"/>
      <c r="F16" s="81"/>
      <c r="G16" s="82"/>
      <c r="H16" s="82"/>
      <c r="I16" s="85"/>
      <c r="J16" s="80"/>
      <c r="K16" s="16"/>
      <c r="L16" s="16"/>
      <c r="M16" s="16"/>
      <c r="N16" s="16"/>
      <c r="O16" s="16"/>
      <c r="P16" s="16"/>
      <c r="Q16" s="16"/>
      <c r="R16" s="16"/>
      <c r="S16" s="16"/>
      <c r="T16" s="16"/>
      <c r="U16" s="16"/>
      <c r="V16" s="6"/>
      <c r="W16" s="6"/>
      <c r="X16" s="6"/>
      <c r="Y16" s="6"/>
      <c r="Z16" s="6"/>
    </row>
    <row r="17" spans="1:26" ht="20.25" customHeight="1">
      <c r="A17" s="16"/>
      <c r="B17" s="48">
        <v>9</v>
      </c>
      <c r="C17" s="80"/>
      <c r="D17" s="81"/>
      <c r="E17" s="81"/>
      <c r="F17" s="81"/>
      <c r="G17" s="82"/>
      <c r="H17" s="82"/>
      <c r="I17" s="85"/>
      <c r="J17" s="80"/>
      <c r="K17" s="16"/>
      <c r="L17" s="16"/>
      <c r="M17" s="16"/>
      <c r="N17" s="16"/>
      <c r="O17" s="16"/>
      <c r="P17" s="16"/>
      <c r="Q17" s="16"/>
      <c r="R17" s="16"/>
      <c r="S17" s="16"/>
      <c r="T17" s="16"/>
      <c r="U17" s="16"/>
      <c r="V17" s="6"/>
      <c r="W17" s="6"/>
      <c r="X17" s="6"/>
      <c r="Y17" s="6"/>
      <c r="Z17" s="6"/>
    </row>
    <row r="18" spans="1:26" ht="20.25" customHeight="1">
      <c r="A18" s="16"/>
      <c r="B18" s="48">
        <v>10</v>
      </c>
      <c r="C18" s="80"/>
      <c r="D18" s="81"/>
      <c r="E18" s="81"/>
      <c r="F18" s="81"/>
      <c r="G18" s="82"/>
      <c r="H18" s="82"/>
      <c r="I18" s="85"/>
      <c r="J18" s="80"/>
      <c r="K18" s="16"/>
      <c r="L18" s="16"/>
      <c r="M18" s="16"/>
      <c r="N18" s="16"/>
      <c r="O18" s="16"/>
      <c r="P18" s="16"/>
      <c r="Q18" s="16"/>
      <c r="R18" s="16"/>
      <c r="S18" s="16"/>
      <c r="T18" s="16"/>
      <c r="U18" s="16"/>
      <c r="V18" s="6"/>
      <c r="W18" s="6"/>
      <c r="X18" s="6"/>
      <c r="Y18" s="6"/>
      <c r="Z18" s="6"/>
    </row>
    <row r="19" spans="1:26" ht="23.25" customHeight="1">
      <c r="A19" s="16"/>
      <c r="B19" s="130" t="s">
        <v>149</v>
      </c>
      <c r="C19" s="102"/>
      <c r="D19" s="50">
        <f t="shared" ref="D19:F19" si="0">SUM(D9:D18)</f>
        <v>0</v>
      </c>
      <c r="E19" s="50">
        <f t="shared" si="0"/>
        <v>0</v>
      </c>
      <c r="F19" s="50">
        <f t="shared" si="0"/>
        <v>0</v>
      </c>
      <c r="G19" s="57"/>
      <c r="H19" s="57"/>
      <c r="I19" s="57"/>
      <c r="J19" s="57"/>
      <c r="K19" s="16"/>
      <c r="L19" s="16"/>
      <c r="M19" s="16"/>
      <c r="N19" s="16"/>
      <c r="O19" s="16"/>
      <c r="P19" s="16"/>
      <c r="Q19" s="16"/>
      <c r="R19" s="16"/>
      <c r="S19" s="16"/>
      <c r="T19" s="16"/>
      <c r="U19" s="16"/>
      <c r="V19" s="6"/>
      <c r="W19" s="6"/>
      <c r="X19" s="6"/>
      <c r="Y19" s="6"/>
      <c r="Z19" s="6"/>
    </row>
    <row r="20" spans="1:26" ht="13.5" customHeight="1">
      <c r="A20" s="16"/>
      <c r="B20" s="16"/>
      <c r="C20" s="16"/>
      <c r="D20" s="16"/>
      <c r="E20" s="16"/>
      <c r="F20" s="16"/>
      <c r="G20" s="16"/>
      <c r="H20" s="16"/>
      <c r="I20" s="16"/>
      <c r="J20" s="16"/>
      <c r="K20" s="16"/>
      <c r="L20" s="16"/>
      <c r="M20" s="16"/>
      <c r="N20" s="16"/>
      <c r="O20" s="16"/>
      <c r="P20" s="16"/>
      <c r="Q20" s="16"/>
      <c r="R20" s="16"/>
      <c r="S20" s="16"/>
      <c r="T20" s="16"/>
      <c r="U20" s="16"/>
      <c r="V20" s="6"/>
      <c r="W20" s="6"/>
      <c r="X20" s="6"/>
      <c r="Y20" s="6"/>
      <c r="Z20" s="6"/>
    </row>
    <row r="21" spans="1:26" ht="21.75" customHeight="1">
      <c r="A21" s="16"/>
      <c r="B21" s="113" t="s">
        <v>253</v>
      </c>
      <c r="C21" s="88"/>
      <c r="D21" s="88"/>
      <c r="E21" s="88"/>
      <c r="F21" s="88"/>
      <c r="G21" s="88"/>
      <c r="H21" s="88"/>
      <c r="I21" s="88"/>
      <c r="J21" s="88"/>
      <c r="K21" s="16"/>
      <c r="L21" s="16"/>
      <c r="M21" s="16"/>
      <c r="N21" s="16"/>
      <c r="O21" s="16"/>
      <c r="P21" s="16"/>
      <c r="Q21" s="16"/>
      <c r="R21" s="16"/>
      <c r="S21" s="16"/>
      <c r="T21" s="16"/>
      <c r="U21" s="16"/>
      <c r="V21" s="6"/>
      <c r="W21" s="6"/>
      <c r="X21" s="6"/>
      <c r="Y21" s="6"/>
      <c r="Z21" s="6"/>
    </row>
    <row r="22" spans="1:26" ht="23.25" customHeight="1">
      <c r="A22" s="16"/>
      <c r="B22" s="135" t="s">
        <v>254</v>
      </c>
      <c r="C22" s="101"/>
      <c r="D22" s="101"/>
      <c r="E22" s="101"/>
      <c r="F22" s="101"/>
      <c r="G22" s="102"/>
      <c r="H22" s="134">
        <f>F19</f>
        <v>0</v>
      </c>
      <c r="I22" s="101"/>
      <c r="J22" s="102"/>
      <c r="K22" s="16"/>
      <c r="L22" s="16"/>
      <c r="M22" s="16"/>
      <c r="N22" s="16"/>
      <c r="O22" s="16"/>
      <c r="P22" s="16"/>
      <c r="Q22" s="16"/>
      <c r="R22" s="16"/>
      <c r="S22" s="16"/>
      <c r="T22" s="16"/>
      <c r="U22" s="16"/>
      <c r="V22" s="6"/>
      <c r="W22" s="6"/>
      <c r="X22" s="6"/>
      <c r="Y22" s="6"/>
      <c r="Z22" s="6"/>
    </row>
    <row r="23" spans="1:26" ht="23.25" customHeight="1">
      <c r="A23" s="16"/>
      <c r="B23" s="135" t="s">
        <v>255</v>
      </c>
      <c r="C23" s="101"/>
      <c r="D23" s="101"/>
      <c r="E23" s="101"/>
      <c r="F23" s="101"/>
      <c r="G23" s="102"/>
      <c r="H23" s="156">
        <f>IFERROR(E19/F19,0)</f>
        <v>0</v>
      </c>
      <c r="I23" s="101"/>
      <c r="J23" s="102"/>
      <c r="K23" s="16"/>
      <c r="L23" s="16"/>
      <c r="M23" s="16"/>
      <c r="N23" s="16"/>
      <c r="O23" s="16"/>
      <c r="P23" s="16"/>
      <c r="Q23" s="16"/>
      <c r="R23" s="16"/>
      <c r="S23" s="16"/>
      <c r="T23" s="16"/>
      <c r="U23" s="16"/>
      <c r="V23" s="6"/>
      <c r="W23" s="6"/>
      <c r="X23" s="6"/>
      <c r="Y23" s="6"/>
      <c r="Z23" s="6"/>
    </row>
    <row r="24" spans="1:26" ht="23.25" customHeight="1">
      <c r="A24" s="16"/>
      <c r="B24" s="135" t="s">
        <v>256</v>
      </c>
      <c r="C24" s="101"/>
      <c r="D24" s="101"/>
      <c r="E24" s="101"/>
      <c r="F24" s="101"/>
      <c r="G24" s="102"/>
      <c r="H24" s="136">
        <f ca="1">IFERROR(MAX(F9:F18)-minifs(F9:F18,F9:F18,"&gt;0"),0)</f>
        <v>0</v>
      </c>
      <c r="I24" s="101"/>
      <c r="J24" s="102"/>
      <c r="K24" s="16"/>
      <c r="L24" s="16"/>
      <c r="M24" s="16"/>
      <c r="N24" s="16"/>
      <c r="O24" s="16"/>
      <c r="P24" s="16"/>
      <c r="Q24" s="16"/>
      <c r="R24" s="16"/>
      <c r="S24" s="16"/>
      <c r="T24" s="16"/>
      <c r="U24" s="16"/>
      <c r="V24" s="6"/>
      <c r="W24" s="6"/>
      <c r="X24" s="6"/>
      <c r="Y24" s="6"/>
      <c r="Z24" s="6"/>
    </row>
    <row r="25" spans="1:26" ht="13.5" customHeight="1">
      <c r="A25" s="16"/>
      <c r="B25" s="16"/>
      <c r="C25" s="16"/>
      <c r="D25" s="16"/>
      <c r="E25" s="16"/>
      <c r="F25" s="16"/>
      <c r="G25" s="16"/>
      <c r="H25" s="16"/>
      <c r="I25" s="16"/>
      <c r="J25" s="16"/>
      <c r="K25" s="16"/>
      <c r="L25" s="16"/>
      <c r="M25" s="16"/>
      <c r="N25" s="16"/>
      <c r="O25" s="16"/>
      <c r="P25" s="16"/>
      <c r="Q25" s="16"/>
      <c r="R25" s="16"/>
      <c r="S25" s="16"/>
      <c r="T25" s="16"/>
      <c r="U25" s="16"/>
      <c r="V25" s="6"/>
      <c r="W25" s="6"/>
      <c r="X25" s="6"/>
      <c r="Y25" s="6"/>
      <c r="Z25" s="6"/>
    </row>
    <row r="26" spans="1:26" ht="36.75" customHeight="1">
      <c r="A26" s="16"/>
      <c r="B26" s="133" t="s">
        <v>257</v>
      </c>
      <c r="C26" s="88"/>
      <c r="D26" s="88"/>
      <c r="E26" s="88"/>
      <c r="F26" s="88"/>
      <c r="G26" s="88"/>
      <c r="H26" s="88"/>
      <c r="I26" s="88"/>
      <c r="J26" s="88"/>
      <c r="K26" s="16"/>
      <c r="L26" s="16"/>
      <c r="M26" s="16"/>
      <c r="N26" s="16"/>
      <c r="O26" s="16"/>
      <c r="P26" s="16"/>
      <c r="Q26" s="16"/>
      <c r="R26" s="16"/>
      <c r="S26" s="16"/>
      <c r="T26" s="16"/>
      <c r="U26" s="16"/>
      <c r="V26" s="6"/>
      <c r="W26" s="6"/>
      <c r="X26" s="6"/>
      <c r="Y26" s="6"/>
      <c r="Z26" s="6"/>
    </row>
    <row r="27" spans="1:26" ht="13.5" customHeight="1">
      <c r="A27" s="16"/>
      <c r="B27" s="16"/>
      <c r="C27" s="16"/>
      <c r="D27" s="16"/>
      <c r="E27" s="16"/>
      <c r="F27" s="16"/>
      <c r="G27" s="16"/>
      <c r="H27" s="16"/>
      <c r="I27" s="16"/>
      <c r="J27" s="16"/>
      <c r="K27" s="16"/>
      <c r="L27" s="16"/>
      <c r="M27" s="16"/>
      <c r="N27" s="16"/>
      <c r="O27" s="16"/>
      <c r="P27" s="16"/>
      <c r="Q27" s="16"/>
      <c r="R27" s="16"/>
      <c r="S27" s="16"/>
      <c r="T27" s="16"/>
      <c r="U27" s="16"/>
      <c r="V27" s="6"/>
      <c r="W27" s="6"/>
      <c r="X27" s="6"/>
      <c r="Y27" s="6"/>
      <c r="Z27" s="6"/>
    </row>
    <row r="28" spans="1:26" ht="13.5" customHeight="1">
      <c r="A28" s="16"/>
      <c r="B28" s="16"/>
      <c r="C28" s="16"/>
      <c r="D28" s="16"/>
      <c r="E28" s="16"/>
      <c r="F28" s="16"/>
      <c r="G28" s="16"/>
      <c r="H28" s="16"/>
      <c r="I28" s="16"/>
      <c r="J28" s="16"/>
      <c r="K28" s="16"/>
      <c r="L28" s="16"/>
      <c r="M28" s="16"/>
      <c r="N28" s="16"/>
      <c r="O28" s="16"/>
      <c r="P28" s="16"/>
      <c r="Q28" s="16"/>
      <c r="R28" s="16"/>
      <c r="S28" s="16"/>
      <c r="T28" s="16"/>
      <c r="U28" s="16"/>
      <c r="V28" s="6"/>
      <c r="W28" s="6"/>
      <c r="X28" s="6"/>
      <c r="Y28" s="6"/>
      <c r="Z28" s="6"/>
    </row>
    <row r="29" spans="1:26" ht="13.5" customHeight="1">
      <c r="A29" s="16"/>
      <c r="B29" s="16"/>
      <c r="C29" s="16"/>
      <c r="D29" s="16"/>
      <c r="E29" s="16"/>
      <c r="F29" s="16"/>
      <c r="G29" s="16"/>
      <c r="H29" s="16"/>
      <c r="I29" s="16"/>
      <c r="J29" s="16"/>
      <c r="K29" s="16"/>
      <c r="L29" s="16"/>
      <c r="M29" s="16"/>
      <c r="N29" s="16"/>
      <c r="O29" s="16"/>
      <c r="P29" s="16"/>
      <c r="Q29" s="16"/>
      <c r="R29" s="16"/>
      <c r="S29" s="16"/>
      <c r="T29" s="16"/>
      <c r="U29" s="16"/>
      <c r="V29" s="6"/>
      <c r="W29" s="6"/>
      <c r="X29" s="6"/>
      <c r="Y29" s="6"/>
      <c r="Z29" s="6"/>
    </row>
    <row r="30" spans="1:26" ht="13.5" customHeight="1">
      <c r="A30" s="16"/>
      <c r="B30" s="16"/>
      <c r="C30" s="16"/>
      <c r="D30" s="16"/>
      <c r="E30" s="16"/>
      <c r="F30" s="16"/>
      <c r="G30" s="16"/>
      <c r="H30" s="16"/>
      <c r="I30" s="16"/>
      <c r="J30" s="16"/>
      <c r="K30" s="16"/>
      <c r="L30" s="16"/>
      <c r="M30" s="16"/>
      <c r="N30" s="16"/>
      <c r="O30" s="16"/>
      <c r="P30" s="16"/>
      <c r="Q30" s="16"/>
      <c r="R30" s="16"/>
      <c r="S30" s="16"/>
      <c r="T30" s="16"/>
      <c r="U30" s="16"/>
      <c r="V30" s="6"/>
      <c r="W30" s="6"/>
      <c r="X30" s="6"/>
      <c r="Y30" s="6"/>
      <c r="Z30" s="6"/>
    </row>
    <row r="31" spans="1:26" ht="13.5" customHeight="1">
      <c r="A31" s="16"/>
      <c r="B31" s="16"/>
      <c r="C31" s="16"/>
      <c r="D31" s="16"/>
      <c r="E31" s="16"/>
      <c r="F31" s="16"/>
      <c r="G31" s="16"/>
      <c r="H31" s="16"/>
      <c r="I31" s="16"/>
      <c r="J31" s="16"/>
      <c r="K31" s="16"/>
      <c r="L31" s="16"/>
      <c r="M31" s="16"/>
      <c r="N31" s="16"/>
      <c r="O31" s="16"/>
      <c r="P31" s="16"/>
      <c r="Q31" s="16"/>
      <c r="R31" s="16"/>
      <c r="S31" s="16"/>
      <c r="T31" s="16"/>
      <c r="U31" s="16"/>
      <c r="V31" s="6"/>
      <c r="W31" s="6"/>
      <c r="X31" s="6"/>
      <c r="Y31" s="6"/>
      <c r="Z31" s="6"/>
    </row>
    <row r="32" spans="1:26" ht="13.5" customHeight="1">
      <c r="A32" s="16"/>
      <c r="B32" s="16"/>
      <c r="C32" s="16"/>
      <c r="D32" s="16"/>
      <c r="E32" s="16"/>
      <c r="F32" s="16"/>
      <c r="G32" s="16"/>
      <c r="H32" s="16"/>
      <c r="I32" s="16"/>
      <c r="J32" s="16"/>
      <c r="K32" s="16"/>
      <c r="L32" s="16"/>
      <c r="M32" s="16"/>
      <c r="N32" s="16"/>
      <c r="O32" s="16"/>
      <c r="P32" s="16"/>
      <c r="Q32" s="16"/>
      <c r="R32" s="16"/>
      <c r="S32" s="16"/>
      <c r="T32" s="16"/>
      <c r="U32" s="16"/>
      <c r="V32" s="6"/>
      <c r="W32" s="6"/>
      <c r="X32" s="6"/>
      <c r="Y32" s="6"/>
      <c r="Z32" s="6"/>
    </row>
    <row r="33" spans="1:26" ht="13.5" customHeight="1">
      <c r="A33" s="16"/>
      <c r="B33" s="16"/>
      <c r="C33" s="16"/>
      <c r="D33" s="16"/>
      <c r="E33" s="16"/>
      <c r="F33" s="16"/>
      <c r="G33" s="16"/>
      <c r="H33" s="16"/>
      <c r="I33" s="16"/>
      <c r="J33" s="16"/>
      <c r="K33" s="16"/>
      <c r="L33" s="16"/>
      <c r="M33" s="16"/>
      <c r="N33" s="16"/>
      <c r="O33" s="16"/>
      <c r="P33" s="16"/>
      <c r="Q33" s="16"/>
      <c r="R33" s="16"/>
      <c r="S33" s="16"/>
      <c r="T33" s="16"/>
      <c r="U33" s="16"/>
      <c r="V33" s="6"/>
      <c r="W33" s="6"/>
      <c r="X33" s="6"/>
      <c r="Y33" s="6"/>
      <c r="Z33" s="6"/>
    </row>
    <row r="34" spans="1:26" ht="13.5" customHeight="1">
      <c r="A34" s="16"/>
      <c r="B34" s="16"/>
      <c r="C34" s="16"/>
      <c r="D34" s="16"/>
      <c r="E34" s="16"/>
      <c r="F34" s="16"/>
      <c r="G34" s="16"/>
      <c r="H34" s="16"/>
      <c r="I34" s="16"/>
      <c r="J34" s="16"/>
      <c r="K34" s="16"/>
      <c r="L34" s="16"/>
      <c r="M34" s="16"/>
      <c r="N34" s="16"/>
      <c r="O34" s="16"/>
      <c r="P34" s="16"/>
      <c r="Q34" s="16"/>
      <c r="R34" s="16"/>
      <c r="S34" s="16"/>
      <c r="T34" s="16"/>
      <c r="U34" s="16"/>
      <c r="V34" s="6"/>
      <c r="W34" s="6"/>
      <c r="X34" s="6"/>
      <c r="Y34" s="6"/>
      <c r="Z34" s="6"/>
    </row>
    <row r="35" spans="1:26" ht="13.5" customHeight="1">
      <c r="A35" s="16"/>
      <c r="B35" s="16"/>
      <c r="C35" s="16"/>
      <c r="D35" s="16"/>
      <c r="E35" s="16"/>
      <c r="F35" s="16"/>
      <c r="G35" s="16"/>
      <c r="H35" s="16"/>
      <c r="I35" s="16"/>
      <c r="J35" s="16"/>
      <c r="K35" s="16"/>
      <c r="L35" s="16"/>
      <c r="M35" s="16"/>
      <c r="N35" s="16"/>
      <c r="O35" s="16"/>
      <c r="P35" s="16"/>
      <c r="Q35" s="16"/>
      <c r="R35" s="16"/>
      <c r="S35" s="16"/>
      <c r="T35" s="16"/>
      <c r="U35" s="16"/>
      <c r="V35" s="6"/>
      <c r="W35" s="6"/>
      <c r="X35" s="6"/>
      <c r="Y35" s="6"/>
      <c r="Z35" s="6"/>
    </row>
    <row r="36" spans="1:26" ht="13.5" customHeight="1">
      <c r="A36" s="16"/>
      <c r="B36" s="16"/>
      <c r="C36" s="16"/>
      <c r="D36" s="16"/>
      <c r="E36" s="16"/>
      <c r="F36" s="16"/>
      <c r="G36" s="16"/>
      <c r="H36" s="16"/>
      <c r="I36" s="16"/>
      <c r="J36" s="16"/>
      <c r="K36" s="16"/>
      <c r="L36" s="16"/>
      <c r="M36" s="16"/>
      <c r="N36" s="16"/>
      <c r="O36" s="16"/>
      <c r="P36" s="16"/>
      <c r="Q36" s="16"/>
      <c r="R36" s="16"/>
      <c r="S36" s="16"/>
      <c r="T36" s="16"/>
      <c r="U36" s="16"/>
      <c r="V36" s="6"/>
      <c r="W36" s="6"/>
      <c r="X36" s="6"/>
      <c r="Y36" s="6"/>
      <c r="Z36" s="6"/>
    </row>
    <row r="37" spans="1:26" ht="13.5" customHeight="1">
      <c r="A37" s="16"/>
      <c r="B37" s="16"/>
      <c r="C37" s="16"/>
      <c r="D37" s="16"/>
      <c r="E37" s="16"/>
      <c r="F37" s="16"/>
      <c r="G37" s="16"/>
      <c r="H37" s="16"/>
      <c r="I37" s="16"/>
      <c r="J37" s="16"/>
      <c r="K37" s="16"/>
      <c r="L37" s="16"/>
      <c r="M37" s="16"/>
      <c r="N37" s="16"/>
      <c r="O37" s="16"/>
      <c r="P37" s="16"/>
      <c r="Q37" s="16"/>
      <c r="R37" s="16"/>
      <c r="S37" s="16"/>
      <c r="T37" s="16"/>
      <c r="U37" s="16"/>
      <c r="V37" s="6"/>
      <c r="W37" s="6"/>
      <c r="X37" s="6"/>
      <c r="Y37" s="6"/>
      <c r="Z37" s="6"/>
    </row>
    <row r="38" spans="1:26" ht="13.5" customHeight="1">
      <c r="A38" s="16"/>
      <c r="B38" s="16"/>
      <c r="C38" s="16"/>
      <c r="D38" s="16"/>
      <c r="E38" s="16"/>
      <c r="F38" s="16"/>
      <c r="G38" s="16"/>
      <c r="H38" s="16"/>
      <c r="I38" s="16"/>
      <c r="J38" s="16"/>
      <c r="K38" s="16"/>
      <c r="L38" s="16"/>
      <c r="M38" s="16"/>
      <c r="N38" s="16"/>
      <c r="O38" s="16"/>
      <c r="P38" s="16"/>
      <c r="Q38" s="16"/>
      <c r="R38" s="16"/>
      <c r="S38" s="16"/>
      <c r="T38" s="16"/>
      <c r="U38" s="16"/>
      <c r="V38" s="6"/>
      <c r="W38" s="6"/>
      <c r="X38" s="6"/>
      <c r="Y38" s="6"/>
      <c r="Z38" s="6"/>
    </row>
    <row r="39" spans="1:26" ht="13.5" customHeight="1">
      <c r="A39" s="16"/>
      <c r="B39" s="16"/>
      <c r="C39" s="16"/>
      <c r="D39" s="16"/>
      <c r="E39" s="16"/>
      <c r="F39" s="16"/>
      <c r="G39" s="16"/>
      <c r="H39" s="16"/>
      <c r="I39" s="16"/>
      <c r="J39" s="16"/>
      <c r="K39" s="16"/>
      <c r="L39" s="16"/>
      <c r="M39" s="16"/>
      <c r="N39" s="16"/>
      <c r="O39" s="16"/>
      <c r="P39" s="16"/>
      <c r="Q39" s="16"/>
      <c r="R39" s="16"/>
      <c r="S39" s="16"/>
      <c r="T39" s="16"/>
      <c r="U39" s="16"/>
      <c r="V39" s="6"/>
      <c r="W39" s="6"/>
      <c r="X39" s="6"/>
      <c r="Y39" s="6"/>
      <c r="Z39" s="6"/>
    </row>
    <row r="40" spans="1:26" ht="13.5" customHeight="1">
      <c r="A40" s="16"/>
      <c r="B40" s="16"/>
      <c r="C40" s="16"/>
      <c r="D40" s="16"/>
      <c r="E40" s="16"/>
      <c r="F40" s="16"/>
      <c r="G40" s="16"/>
      <c r="H40" s="16"/>
      <c r="I40" s="16"/>
      <c r="J40" s="16"/>
      <c r="K40" s="16"/>
      <c r="L40" s="16"/>
      <c r="M40" s="16"/>
      <c r="N40" s="16"/>
      <c r="O40" s="16"/>
      <c r="P40" s="16"/>
      <c r="Q40" s="16"/>
      <c r="R40" s="16"/>
      <c r="S40" s="16"/>
      <c r="T40" s="16"/>
      <c r="U40" s="16"/>
      <c r="V40" s="6"/>
      <c r="W40" s="6"/>
      <c r="X40" s="6"/>
      <c r="Y40" s="6"/>
      <c r="Z40" s="6"/>
    </row>
    <row r="41" spans="1:26" ht="13.5" customHeight="1">
      <c r="A41" s="16"/>
      <c r="B41" s="16"/>
      <c r="C41" s="16"/>
      <c r="D41" s="16"/>
      <c r="E41" s="16"/>
      <c r="F41" s="16"/>
      <c r="G41" s="16"/>
      <c r="H41" s="16"/>
      <c r="I41" s="16"/>
      <c r="J41" s="16"/>
      <c r="K41" s="16"/>
      <c r="L41" s="16"/>
      <c r="M41" s="16"/>
      <c r="N41" s="16"/>
      <c r="O41" s="16"/>
      <c r="P41" s="16"/>
      <c r="Q41" s="16"/>
      <c r="R41" s="16"/>
      <c r="S41" s="16"/>
      <c r="T41" s="16"/>
      <c r="U41" s="16"/>
      <c r="V41" s="6"/>
      <c r="W41" s="6"/>
      <c r="X41" s="6"/>
      <c r="Y41" s="6"/>
      <c r="Z41" s="6"/>
    </row>
    <row r="42" spans="1:26" ht="13.5" customHeight="1">
      <c r="A42" s="16"/>
      <c r="B42" s="16"/>
      <c r="C42" s="16"/>
      <c r="D42" s="16"/>
      <c r="E42" s="16"/>
      <c r="F42" s="16"/>
      <c r="G42" s="16"/>
      <c r="H42" s="16"/>
      <c r="I42" s="16"/>
      <c r="J42" s="16"/>
      <c r="K42" s="16"/>
      <c r="L42" s="16"/>
      <c r="M42" s="16"/>
      <c r="N42" s="16"/>
      <c r="O42" s="16"/>
      <c r="P42" s="16"/>
      <c r="Q42" s="16"/>
      <c r="R42" s="16"/>
      <c r="S42" s="16"/>
      <c r="T42" s="16"/>
      <c r="U42" s="16"/>
      <c r="V42" s="6"/>
      <c r="W42" s="6"/>
      <c r="X42" s="6"/>
      <c r="Y42" s="6"/>
      <c r="Z42" s="6"/>
    </row>
    <row r="43" spans="1:26" ht="13.5" customHeight="1">
      <c r="A43" s="16"/>
      <c r="B43" s="16"/>
      <c r="C43" s="16"/>
      <c r="D43" s="16"/>
      <c r="E43" s="16"/>
      <c r="F43" s="16"/>
      <c r="G43" s="16"/>
      <c r="H43" s="16"/>
      <c r="I43" s="16"/>
      <c r="J43" s="16"/>
      <c r="K43" s="16"/>
      <c r="L43" s="16"/>
      <c r="M43" s="16"/>
      <c r="N43" s="16"/>
      <c r="O43" s="16"/>
      <c r="P43" s="16"/>
      <c r="Q43" s="16"/>
      <c r="R43" s="16"/>
      <c r="S43" s="16"/>
      <c r="T43" s="16"/>
      <c r="U43" s="16"/>
      <c r="V43" s="6"/>
      <c r="W43" s="6"/>
      <c r="X43" s="6"/>
      <c r="Y43" s="6"/>
      <c r="Z43" s="6"/>
    </row>
    <row r="44" spans="1:26" ht="13.5" customHeight="1">
      <c r="A44" s="16"/>
      <c r="B44" s="16"/>
      <c r="C44" s="16"/>
      <c r="D44" s="16"/>
      <c r="E44" s="16"/>
      <c r="F44" s="16"/>
      <c r="G44" s="16"/>
      <c r="H44" s="16"/>
      <c r="I44" s="16"/>
      <c r="J44" s="16"/>
      <c r="K44" s="16"/>
      <c r="L44" s="16"/>
      <c r="M44" s="16"/>
      <c r="N44" s="16"/>
      <c r="O44" s="16"/>
      <c r="P44" s="16"/>
      <c r="Q44" s="16"/>
      <c r="R44" s="16"/>
      <c r="S44" s="16"/>
      <c r="T44" s="16"/>
      <c r="U44" s="16"/>
      <c r="V44" s="6"/>
      <c r="W44" s="6"/>
      <c r="X44" s="6"/>
      <c r="Y44" s="6"/>
      <c r="Z44" s="6"/>
    </row>
    <row r="45" spans="1:26" ht="13.5" customHeight="1">
      <c r="A45" s="16"/>
      <c r="B45" s="16"/>
      <c r="C45" s="16"/>
      <c r="D45" s="16"/>
      <c r="E45" s="16"/>
      <c r="F45" s="16"/>
      <c r="G45" s="16"/>
      <c r="H45" s="16"/>
      <c r="I45" s="16"/>
      <c r="J45" s="16"/>
      <c r="K45" s="16"/>
      <c r="L45" s="16"/>
      <c r="M45" s="16"/>
      <c r="N45" s="16"/>
      <c r="O45" s="16"/>
      <c r="P45" s="16"/>
      <c r="Q45" s="16"/>
      <c r="R45" s="16"/>
      <c r="S45" s="16"/>
      <c r="T45" s="16"/>
      <c r="U45" s="16"/>
      <c r="V45" s="6"/>
      <c r="W45" s="6"/>
      <c r="X45" s="6"/>
      <c r="Y45" s="6"/>
      <c r="Z45" s="6"/>
    </row>
    <row r="46" spans="1:26" ht="13.5" customHeight="1">
      <c r="A46" s="16"/>
      <c r="B46" s="16"/>
      <c r="C46" s="16"/>
      <c r="D46" s="16"/>
      <c r="E46" s="16"/>
      <c r="F46" s="16"/>
      <c r="G46" s="16"/>
      <c r="H46" s="16"/>
      <c r="I46" s="16"/>
      <c r="J46" s="16"/>
      <c r="K46" s="16"/>
      <c r="L46" s="16"/>
      <c r="M46" s="16"/>
      <c r="N46" s="16"/>
      <c r="O46" s="16"/>
      <c r="P46" s="16"/>
      <c r="Q46" s="16"/>
      <c r="R46" s="16"/>
      <c r="S46" s="16"/>
      <c r="T46" s="16"/>
      <c r="U46" s="16"/>
      <c r="V46" s="6"/>
      <c r="W46" s="6"/>
      <c r="X46" s="6"/>
      <c r="Y46" s="6"/>
      <c r="Z46" s="6"/>
    </row>
    <row r="47" spans="1:26" ht="13.5" customHeight="1">
      <c r="A47" s="16"/>
      <c r="B47" s="16"/>
      <c r="C47" s="16"/>
      <c r="D47" s="16"/>
      <c r="E47" s="16"/>
      <c r="F47" s="16"/>
      <c r="G47" s="16"/>
      <c r="H47" s="16"/>
      <c r="I47" s="16"/>
      <c r="J47" s="16"/>
      <c r="K47" s="16"/>
      <c r="L47" s="16"/>
      <c r="M47" s="16"/>
      <c r="N47" s="16"/>
      <c r="O47" s="16"/>
      <c r="P47" s="16"/>
      <c r="Q47" s="16"/>
      <c r="R47" s="16"/>
      <c r="S47" s="16"/>
      <c r="T47" s="16"/>
      <c r="U47" s="16"/>
      <c r="V47" s="6"/>
      <c r="W47" s="6"/>
      <c r="X47" s="6"/>
      <c r="Y47" s="6"/>
      <c r="Z47" s="6"/>
    </row>
    <row r="48" spans="1:26" ht="13.5" customHeight="1">
      <c r="A48" s="16"/>
      <c r="B48" s="16"/>
      <c r="C48" s="16"/>
      <c r="D48" s="16"/>
      <c r="E48" s="16"/>
      <c r="F48" s="16"/>
      <c r="G48" s="16"/>
      <c r="H48" s="16"/>
      <c r="I48" s="16"/>
      <c r="J48" s="16"/>
      <c r="K48" s="16"/>
      <c r="L48" s="16"/>
      <c r="M48" s="16"/>
      <c r="N48" s="16"/>
      <c r="O48" s="16"/>
      <c r="P48" s="16"/>
      <c r="Q48" s="16"/>
      <c r="R48" s="16"/>
      <c r="S48" s="16"/>
      <c r="T48" s="16"/>
      <c r="U48" s="16"/>
      <c r="V48" s="6"/>
      <c r="W48" s="6"/>
      <c r="X48" s="6"/>
      <c r="Y48" s="6"/>
      <c r="Z48" s="6"/>
    </row>
    <row r="49" spans="1:26" ht="13.5" customHeight="1">
      <c r="A49" s="16"/>
      <c r="B49" s="16"/>
      <c r="C49" s="16"/>
      <c r="D49" s="16"/>
      <c r="E49" s="16"/>
      <c r="F49" s="16"/>
      <c r="G49" s="16"/>
      <c r="H49" s="16"/>
      <c r="I49" s="16"/>
      <c r="J49" s="16"/>
      <c r="K49" s="16"/>
      <c r="L49" s="16"/>
      <c r="M49" s="16"/>
      <c r="N49" s="16"/>
      <c r="O49" s="16"/>
      <c r="P49" s="16"/>
      <c r="Q49" s="16"/>
      <c r="R49" s="16"/>
      <c r="S49" s="16"/>
      <c r="T49" s="16"/>
      <c r="U49" s="16"/>
      <c r="V49" s="6"/>
      <c r="W49" s="6"/>
      <c r="X49" s="6"/>
      <c r="Y49" s="6"/>
      <c r="Z49" s="6"/>
    </row>
    <row r="50" spans="1:26" ht="13.5" customHeight="1">
      <c r="A50" s="16"/>
      <c r="B50" s="16"/>
      <c r="C50" s="16"/>
      <c r="D50" s="16"/>
      <c r="E50" s="16"/>
      <c r="F50" s="16"/>
      <c r="G50" s="16"/>
      <c r="H50" s="16"/>
      <c r="I50" s="16"/>
      <c r="J50" s="16"/>
      <c r="K50" s="16"/>
      <c r="L50" s="16"/>
      <c r="M50" s="16"/>
      <c r="N50" s="16"/>
      <c r="O50" s="16"/>
      <c r="P50" s="16"/>
      <c r="Q50" s="16"/>
      <c r="R50" s="16"/>
      <c r="S50" s="16"/>
      <c r="T50" s="16"/>
      <c r="U50" s="16"/>
      <c r="V50" s="6"/>
      <c r="W50" s="6"/>
      <c r="X50" s="6"/>
      <c r="Y50" s="6"/>
      <c r="Z50" s="6"/>
    </row>
    <row r="51" spans="1:26" ht="13.5" customHeight="1">
      <c r="A51" s="16"/>
      <c r="B51" s="16"/>
      <c r="C51" s="16"/>
      <c r="D51" s="16"/>
      <c r="E51" s="16"/>
      <c r="F51" s="16"/>
      <c r="G51" s="16"/>
      <c r="H51" s="16"/>
      <c r="I51" s="16"/>
      <c r="J51" s="16"/>
      <c r="K51" s="16"/>
      <c r="L51" s="16"/>
      <c r="M51" s="16"/>
      <c r="N51" s="16"/>
      <c r="O51" s="16"/>
      <c r="P51" s="16"/>
      <c r="Q51" s="16"/>
      <c r="R51" s="16"/>
      <c r="S51" s="16"/>
      <c r="T51" s="16"/>
      <c r="U51" s="16"/>
      <c r="V51" s="6"/>
      <c r="W51" s="6"/>
      <c r="X51" s="6"/>
      <c r="Y51" s="6"/>
      <c r="Z51" s="6"/>
    </row>
    <row r="52" spans="1:26" ht="13.5" customHeight="1">
      <c r="A52" s="16"/>
      <c r="B52" s="16"/>
      <c r="C52" s="16"/>
      <c r="D52" s="16"/>
      <c r="E52" s="16"/>
      <c r="F52" s="16"/>
      <c r="G52" s="16"/>
      <c r="H52" s="16"/>
      <c r="I52" s="16"/>
      <c r="J52" s="16"/>
      <c r="K52" s="16"/>
      <c r="L52" s="16"/>
      <c r="M52" s="16"/>
      <c r="N52" s="16"/>
      <c r="O52" s="16"/>
      <c r="P52" s="16"/>
      <c r="Q52" s="16"/>
      <c r="R52" s="16"/>
      <c r="S52" s="16"/>
      <c r="T52" s="16"/>
      <c r="U52" s="16"/>
      <c r="V52" s="6"/>
      <c r="W52" s="6"/>
      <c r="X52" s="6"/>
      <c r="Y52" s="6"/>
      <c r="Z52" s="6"/>
    </row>
    <row r="53" spans="1:26" ht="13.5" customHeight="1">
      <c r="A53" s="16"/>
      <c r="B53" s="16"/>
      <c r="C53" s="16"/>
      <c r="D53" s="16"/>
      <c r="E53" s="16"/>
      <c r="F53" s="16"/>
      <c r="G53" s="16"/>
      <c r="H53" s="16"/>
      <c r="I53" s="16"/>
      <c r="J53" s="16"/>
      <c r="K53" s="16"/>
      <c r="L53" s="16"/>
      <c r="M53" s="16"/>
      <c r="N53" s="16"/>
      <c r="O53" s="16"/>
      <c r="P53" s="16"/>
      <c r="Q53" s="16"/>
      <c r="R53" s="16"/>
      <c r="S53" s="16"/>
      <c r="T53" s="16"/>
      <c r="U53" s="16"/>
      <c r="V53" s="6"/>
      <c r="W53" s="6"/>
      <c r="X53" s="6"/>
      <c r="Y53" s="6"/>
      <c r="Z53" s="6"/>
    </row>
    <row r="54" spans="1:26" ht="13.5" customHeight="1">
      <c r="A54" s="16"/>
      <c r="B54" s="16"/>
      <c r="C54" s="16"/>
      <c r="D54" s="16"/>
      <c r="E54" s="16"/>
      <c r="F54" s="16"/>
      <c r="G54" s="16"/>
      <c r="H54" s="16"/>
      <c r="I54" s="16"/>
      <c r="J54" s="16"/>
      <c r="K54" s="16"/>
      <c r="L54" s="16"/>
      <c r="M54" s="16"/>
      <c r="N54" s="16"/>
      <c r="O54" s="16"/>
      <c r="P54" s="16"/>
      <c r="Q54" s="16"/>
      <c r="R54" s="16"/>
      <c r="S54" s="16"/>
      <c r="T54" s="16"/>
      <c r="U54" s="16"/>
      <c r="V54" s="6"/>
      <c r="W54" s="6"/>
      <c r="X54" s="6"/>
      <c r="Y54" s="6"/>
      <c r="Z54" s="6"/>
    </row>
    <row r="55" spans="1:26" ht="13.5" customHeight="1">
      <c r="A55" s="16"/>
      <c r="B55" s="16"/>
      <c r="C55" s="16"/>
      <c r="D55" s="16"/>
      <c r="E55" s="16"/>
      <c r="F55" s="16"/>
      <c r="G55" s="16"/>
      <c r="H55" s="16"/>
      <c r="I55" s="16"/>
      <c r="J55" s="16"/>
      <c r="K55" s="16"/>
      <c r="L55" s="16"/>
      <c r="M55" s="16"/>
      <c r="N55" s="16"/>
      <c r="O55" s="16"/>
      <c r="P55" s="16"/>
      <c r="Q55" s="16"/>
      <c r="R55" s="16"/>
      <c r="S55" s="16"/>
      <c r="T55" s="16"/>
      <c r="U55" s="16"/>
      <c r="V55" s="6"/>
      <c r="W55" s="6"/>
      <c r="X55" s="6"/>
      <c r="Y55" s="6"/>
      <c r="Z55" s="6"/>
    </row>
    <row r="56" spans="1:26" ht="13.5" customHeight="1">
      <c r="A56" s="16"/>
      <c r="B56" s="16"/>
      <c r="C56" s="16"/>
      <c r="D56" s="16"/>
      <c r="E56" s="16"/>
      <c r="F56" s="16"/>
      <c r="G56" s="16"/>
      <c r="H56" s="16"/>
      <c r="I56" s="16"/>
      <c r="J56" s="16"/>
      <c r="K56" s="16"/>
      <c r="L56" s="16"/>
      <c r="M56" s="16"/>
      <c r="N56" s="16"/>
      <c r="O56" s="16"/>
      <c r="P56" s="16"/>
      <c r="Q56" s="16"/>
      <c r="R56" s="16"/>
      <c r="S56" s="16"/>
      <c r="T56" s="16"/>
      <c r="U56" s="16"/>
      <c r="V56" s="6"/>
      <c r="W56" s="6"/>
      <c r="X56" s="6"/>
      <c r="Y56" s="6"/>
      <c r="Z56" s="6"/>
    </row>
    <row r="57" spans="1:26" ht="13.5" customHeight="1">
      <c r="A57" s="16"/>
      <c r="B57" s="16"/>
      <c r="C57" s="16"/>
      <c r="D57" s="16"/>
      <c r="E57" s="16"/>
      <c r="F57" s="16"/>
      <c r="G57" s="16"/>
      <c r="H57" s="16"/>
      <c r="I57" s="16"/>
      <c r="J57" s="16"/>
      <c r="K57" s="16"/>
      <c r="L57" s="16"/>
      <c r="M57" s="16"/>
      <c r="N57" s="16"/>
      <c r="O57" s="16"/>
      <c r="P57" s="16"/>
      <c r="Q57" s="16"/>
      <c r="R57" s="16"/>
      <c r="S57" s="16"/>
      <c r="T57" s="16"/>
      <c r="U57" s="16"/>
      <c r="V57" s="6"/>
      <c r="W57" s="6"/>
      <c r="X57" s="6"/>
      <c r="Y57" s="6"/>
      <c r="Z57" s="6"/>
    </row>
    <row r="58" spans="1:26" ht="13.5" customHeight="1">
      <c r="A58" s="16"/>
      <c r="B58" s="16"/>
      <c r="C58" s="16"/>
      <c r="D58" s="16"/>
      <c r="E58" s="16"/>
      <c r="F58" s="16"/>
      <c r="G58" s="16"/>
      <c r="H58" s="16"/>
      <c r="I58" s="16"/>
      <c r="J58" s="16"/>
      <c r="K58" s="16"/>
      <c r="L58" s="16"/>
      <c r="M58" s="16"/>
      <c r="N58" s="16"/>
      <c r="O58" s="16"/>
      <c r="P58" s="16"/>
      <c r="Q58" s="16"/>
      <c r="R58" s="16"/>
      <c r="S58" s="16"/>
      <c r="T58" s="16"/>
      <c r="U58" s="16"/>
      <c r="V58" s="6"/>
      <c r="W58" s="6"/>
      <c r="X58" s="6"/>
      <c r="Y58" s="6"/>
      <c r="Z58" s="6"/>
    </row>
    <row r="59" spans="1:26" ht="13.5" customHeight="1">
      <c r="A59" s="16"/>
      <c r="B59" s="16"/>
      <c r="C59" s="16"/>
      <c r="D59" s="16"/>
      <c r="E59" s="16"/>
      <c r="F59" s="16"/>
      <c r="G59" s="16"/>
      <c r="H59" s="16"/>
      <c r="I59" s="16"/>
      <c r="J59" s="16"/>
      <c r="K59" s="16"/>
      <c r="L59" s="16"/>
      <c r="M59" s="16"/>
      <c r="N59" s="16"/>
      <c r="O59" s="16"/>
      <c r="P59" s="16"/>
      <c r="Q59" s="16"/>
      <c r="R59" s="16"/>
      <c r="S59" s="16"/>
      <c r="T59" s="16"/>
      <c r="U59" s="16"/>
      <c r="V59" s="6"/>
      <c r="W59" s="6"/>
      <c r="X59" s="6"/>
      <c r="Y59" s="6"/>
      <c r="Z59" s="6"/>
    </row>
    <row r="60" spans="1:26" ht="13.5" customHeight="1">
      <c r="A60" s="16"/>
      <c r="B60" s="16"/>
      <c r="C60" s="16"/>
      <c r="D60" s="16"/>
      <c r="E60" s="16"/>
      <c r="F60" s="16"/>
      <c r="G60" s="16"/>
      <c r="H60" s="16"/>
      <c r="I60" s="16"/>
      <c r="J60" s="16"/>
      <c r="K60" s="16"/>
      <c r="L60" s="16"/>
      <c r="M60" s="16"/>
      <c r="N60" s="16"/>
      <c r="O60" s="16"/>
      <c r="P60" s="16"/>
      <c r="Q60" s="16"/>
      <c r="R60" s="16"/>
      <c r="S60" s="16"/>
      <c r="T60" s="16"/>
      <c r="U60" s="16"/>
      <c r="V60" s="6"/>
      <c r="W60" s="6"/>
      <c r="X60" s="6"/>
      <c r="Y60" s="6"/>
      <c r="Z60" s="6"/>
    </row>
    <row r="61" spans="1:26" ht="13.5" customHeight="1">
      <c r="A61" s="16"/>
      <c r="B61" s="16"/>
      <c r="C61" s="16"/>
      <c r="D61" s="16"/>
      <c r="E61" s="16"/>
      <c r="F61" s="16"/>
      <c r="G61" s="16"/>
      <c r="H61" s="16"/>
      <c r="I61" s="16"/>
      <c r="J61" s="16"/>
      <c r="K61" s="16"/>
      <c r="L61" s="16"/>
      <c r="M61" s="16"/>
      <c r="N61" s="16"/>
      <c r="O61" s="16"/>
      <c r="P61" s="16"/>
      <c r="Q61" s="16"/>
      <c r="R61" s="16"/>
      <c r="S61" s="16"/>
      <c r="T61" s="16"/>
      <c r="U61" s="16"/>
      <c r="V61" s="6"/>
      <c r="W61" s="6"/>
      <c r="X61" s="6"/>
      <c r="Y61" s="6"/>
      <c r="Z61" s="6"/>
    </row>
    <row r="62" spans="1:26" ht="13.5" customHeight="1">
      <c r="A62" s="16"/>
      <c r="B62" s="16"/>
      <c r="C62" s="16"/>
      <c r="D62" s="16"/>
      <c r="E62" s="16"/>
      <c r="F62" s="16"/>
      <c r="G62" s="16"/>
      <c r="H62" s="16"/>
      <c r="I62" s="16"/>
      <c r="J62" s="16"/>
      <c r="K62" s="16"/>
      <c r="L62" s="16"/>
      <c r="M62" s="16"/>
      <c r="N62" s="16"/>
      <c r="O62" s="16"/>
      <c r="P62" s="16"/>
      <c r="Q62" s="16"/>
      <c r="R62" s="16"/>
      <c r="S62" s="16"/>
      <c r="T62" s="16"/>
      <c r="U62" s="16"/>
      <c r="V62" s="6"/>
      <c r="W62" s="6"/>
      <c r="X62" s="6"/>
      <c r="Y62" s="6"/>
      <c r="Z62" s="6"/>
    </row>
    <row r="63" spans="1:26" ht="13.5" customHeight="1">
      <c r="A63" s="16"/>
      <c r="B63" s="16"/>
      <c r="C63" s="16"/>
      <c r="D63" s="16"/>
      <c r="E63" s="16"/>
      <c r="F63" s="16"/>
      <c r="G63" s="16"/>
      <c r="H63" s="16"/>
      <c r="I63" s="16"/>
      <c r="J63" s="16"/>
      <c r="K63" s="16"/>
      <c r="L63" s="16"/>
      <c r="M63" s="16"/>
      <c r="N63" s="16"/>
      <c r="O63" s="16"/>
      <c r="P63" s="16"/>
      <c r="Q63" s="16"/>
      <c r="R63" s="16"/>
      <c r="S63" s="16"/>
      <c r="T63" s="16"/>
      <c r="U63" s="16"/>
      <c r="V63" s="6"/>
      <c r="W63" s="6"/>
      <c r="X63" s="6"/>
      <c r="Y63" s="6"/>
      <c r="Z63" s="6"/>
    </row>
    <row r="64" spans="1:26" ht="13.5" customHeight="1">
      <c r="A64" s="16"/>
      <c r="B64" s="16"/>
      <c r="C64" s="16"/>
      <c r="D64" s="16"/>
      <c r="E64" s="16"/>
      <c r="F64" s="16"/>
      <c r="G64" s="16"/>
      <c r="H64" s="16"/>
      <c r="I64" s="16"/>
      <c r="J64" s="16"/>
      <c r="K64" s="16"/>
      <c r="L64" s="16"/>
      <c r="M64" s="16"/>
      <c r="N64" s="16"/>
      <c r="O64" s="16"/>
      <c r="P64" s="16"/>
      <c r="Q64" s="16"/>
      <c r="R64" s="16"/>
      <c r="S64" s="16"/>
      <c r="T64" s="16"/>
      <c r="U64" s="16"/>
      <c r="V64" s="6"/>
      <c r="W64" s="6"/>
      <c r="X64" s="6"/>
      <c r="Y64" s="6"/>
      <c r="Z64" s="6"/>
    </row>
    <row r="65" spans="1:26" ht="13.5" customHeight="1">
      <c r="A65" s="16"/>
      <c r="B65" s="16"/>
      <c r="C65" s="16"/>
      <c r="D65" s="16"/>
      <c r="E65" s="16"/>
      <c r="F65" s="16"/>
      <c r="G65" s="16"/>
      <c r="H65" s="16"/>
      <c r="I65" s="16"/>
      <c r="J65" s="16"/>
      <c r="K65" s="16"/>
      <c r="L65" s="16"/>
      <c r="M65" s="16"/>
      <c r="N65" s="16"/>
      <c r="O65" s="16"/>
      <c r="P65" s="16"/>
      <c r="Q65" s="16"/>
      <c r="R65" s="16"/>
      <c r="S65" s="16"/>
      <c r="T65" s="16"/>
      <c r="U65" s="16"/>
      <c r="V65" s="6"/>
      <c r="W65" s="6"/>
      <c r="X65" s="6"/>
      <c r="Y65" s="6"/>
      <c r="Z65" s="6"/>
    </row>
    <row r="66" spans="1:26" ht="13.5" customHeight="1">
      <c r="A66" s="16"/>
      <c r="B66" s="16"/>
      <c r="C66" s="16"/>
      <c r="D66" s="16"/>
      <c r="E66" s="16"/>
      <c r="F66" s="16"/>
      <c r="G66" s="16"/>
      <c r="H66" s="16"/>
      <c r="I66" s="16"/>
      <c r="J66" s="16"/>
      <c r="K66" s="16"/>
      <c r="L66" s="16"/>
      <c r="M66" s="16"/>
      <c r="N66" s="16"/>
      <c r="O66" s="16"/>
      <c r="P66" s="16"/>
      <c r="Q66" s="16"/>
      <c r="R66" s="16"/>
      <c r="S66" s="16"/>
      <c r="T66" s="16"/>
      <c r="U66" s="16"/>
      <c r="V66" s="6"/>
      <c r="W66" s="6"/>
      <c r="X66" s="6"/>
      <c r="Y66" s="6"/>
      <c r="Z66" s="6"/>
    </row>
    <row r="67" spans="1:26" ht="13.5" customHeight="1">
      <c r="A67" s="16"/>
      <c r="B67" s="16"/>
      <c r="C67" s="16"/>
      <c r="D67" s="16"/>
      <c r="E67" s="16"/>
      <c r="F67" s="16"/>
      <c r="G67" s="16"/>
      <c r="H67" s="16"/>
      <c r="I67" s="16"/>
      <c r="J67" s="16"/>
      <c r="K67" s="16"/>
      <c r="L67" s="16"/>
      <c r="M67" s="16"/>
      <c r="N67" s="16"/>
      <c r="O67" s="16"/>
      <c r="P67" s="16"/>
      <c r="Q67" s="16"/>
      <c r="R67" s="16"/>
      <c r="S67" s="16"/>
      <c r="T67" s="16"/>
      <c r="U67" s="16"/>
      <c r="V67" s="6"/>
      <c r="W67" s="6"/>
      <c r="X67" s="6"/>
      <c r="Y67" s="6"/>
      <c r="Z67" s="6"/>
    </row>
    <row r="68" spans="1:26" ht="13.5" customHeight="1">
      <c r="A68" s="16"/>
      <c r="B68" s="16"/>
      <c r="C68" s="16"/>
      <c r="D68" s="16"/>
      <c r="E68" s="16"/>
      <c r="F68" s="16"/>
      <c r="G68" s="16"/>
      <c r="H68" s="16"/>
      <c r="I68" s="16"/>
      <c r="J68" s="16"/>
      <c r="K68" s="16"/>
      <c r="L68" s="16"/>
      <c r="M68" s="16"/>
      <c r="N68" s="16"/>
      <c r="O68" s="16"/>
      <c r="P68" s="16"/>
      <c r="Q68" s="16"/>
      <c r="R68" s="16"/>
      <c r="S68" s="16"/>
      <c r="T68" s="16"/>
      <c r="U68" s="16"/>
      <c r="V68" s="6"/>
      <c r="W68" s="6"/>
      <c r="X68" s="6"/>
      <c r="Y68" s="6"/>
      <c r="Z68" s="6"/>
    </row>
    <row r="69" spans="1:26" ht="13.5" customHeight="1">
      <c r="A69" s="16"/>
      <c r="B69" s="16"/>
      <c r="C69" s="16"/>
      <c r="D69" s="16"/>
      <c r="E69" s="16"/>
      <c r="F69" s="16"/>
      <c r="G69" s="16"/>
      <c r="H69" s="16"/>
      <c r="I69" s="16"/>
      <c r="J69" s="16"/>
      <c r="K69" s="16"/>
      <c r="L69" s="16"/>
      <c r="M69" s="16"/>
      <c r="N69" s="16"/>
      <c r="O69" s="16"/>
      <c r="P69" s="16"/>
      <c r="Q69" s="16"/>
      <c r="R69" s="16"/>
      <c r="S69" s="16"/>
      <c r="T69" s="16"/>
      <c r="U69" s="16"/>
      <c r="V69" s="6"/>
      <c r="W69" s="6"/>
      <c r="X69" s="6"/>
      <c r="Y69" s="6"/>
      <c r="Z69" s="6"/>
    </row>
    <row r="70" spans="1:26" ht="13.5" customHeight="1">
      <c r="A70" s="16"/>
      <c r="B70" s="16"/>
      <c r="C70" s="16"/>
      <c r="D70" s="16"/>
      <c r="E70" s="16"/>
      <c r="F70" s="16"/>
      <c r="G70" s="16"/>
      <c r="H70" s="16"/>
      <c r="I70" s="16"/>
      <c r="J70" s="16"/>
      <c r="K70" s="16"/>
      <c r="L70" s="16"/>
      <c r="M70" s="16"/>
      <c r="N70" s="16"/>
      <c r="O70" s="16"/>
      <c r="P70" s="16"/>
      <c r="Q70" s="16"/>
      <c r="R70" s="16"/>
      <c r="S70" s="16"/>
      <c r="T70" s="16"/>
      <c r="U70" s="16"/>
      <c r="V70" s="6"/>
      <c r="W70" s="6"/>
      <c r="X70" s="6"/>
      <c r="Y70" s="6"/>
      <c r="Z70" s="6"/>
    </row>
    <row r="71" spans="1:26" ht="13.5" customHeight="1">
      <c r="A71" s="16"/>
      <c r="B71" s="16"/>
      <c r="C71" s="16"/>
      <c r="D71" s="16"/>
      <c r="E71" s="16"/>
      <c r="F71" s="16"/>
      <c r="G71" s="16"/>
      <c r="H71" s="16"/>
      <c r="I71" s="16"/>
      <c r="J71" s="16"/>
      <c r="K71" s="16"/>
      <c r="L71" s="16"/>
      <c r="M71" s="16"/>
      <c r="N71" s="16"/>
      <c r="O71" s="16"/>
      <c r="P71" s="16"/>
      <c r="Q71" s="16"/>
      <c r="R71" s="16"/>
      <c r="S71" s="16"/>
      <c r="T71" s="16"/>
      <c r="U71" s="16"/>
      <c r="V71" s="6"/>
      <c r="W71" s="6"/>
      <c r="X71" s="6"/>
      <c r="Y71" s="6"/>
      <c r="Z71" s="6"/>
    </row>
    <row r="72" spans="1:26" ht="13.5" customHeight="1">
      <c r="A72" s="16"/>
      <c r="B72" s="16"/>
      <c r="C72" s="16"/>
      <c r="D72" s="16"/>
      <c r="E72" s="16"/>
      <c r="F72" s="16"/>
      <c r="G72" s="16"/>
      <c r="H72" s="16"/>
      <c r="I72" s="16"/>
      <c r="J72" s="16"/>
      <c r="K72" s="16"/>
      <c r="L72" s="16"/>
      <c r="M72" s="16"/>
      <c r="N72" s="16"/>
      <c r="O72" s="16"/>
      <c r="P72" s="16"/>
      <c r="Q72" s="16"/>
      <c r="R72" s="16"/>
      <c r="S72" s="16"/>
      <c r="T72" s="16"/>
      <c r="U72" s="16"/>
      <c r="V72" s="6"/>
      <c r="W72" s="6"/>
      <c r="X72" s="6"/>
      <c r="Y72" s="6"/>
      <c r="Z72" s="6"/>
    </row>
    <row r="73" spans="1:26" ht="13.5" customHeight="1">
      <c r="A73" s="16"/>
      <c r="B73" s="16"/>
      <c r="C73" s="16"/>
      <c r="D73" s="16"/>
      <c r="E73" s="16"/>
      <c r="F73" s="16"/>
      <c r="G73" s="16"/>
      <c r="H73" s="16"/>
      <c r="I73" s="16"/>
      <c r="J73" s="16"/>
      <c r="K73" s="16"/>
      <c r="L73" s="16"/>
      <c r="M73" s="16"/>
      <c r="N73" s="16"/>
      <c r="O73" s="16"/>
      <c r="P73" s="16"/>
      <c r="Q73" s="16"/>
      <c r="R73" s="16"/>
      <c r="S73" s="16"/>
      <c r="T73" s="16"/>
      <c r="U73" s="16"/>
      <c r="V73" s="6"/>
      <c r="W73" s="6"/>
      <c r="X73" s="6"/>
      <c r="Y73" s="6"/>
      <c r="Z73" s="6"/>
    </row>
    <row r="74" spans="1:26" ht="13.5" customHeight="1">
      <c r="A74" s="16"/>
      <c r="B74" s="16"/>
      <c r="C74" s="16"/>
      <c r="D74" s="16"/>
      <c r="E74" s="16"/>
      <c r="F74" s="16"/>
      <c r="G74" s="16"/>
      <c r="H74" s="16"/>
      <c r="I74" s="16"/>
      <c r="J74" s="16"/>
      <c r="K74" s="16"/>
      <c r="L74" s="16"/>
      <c r="M74" s="16"/>
      <c r="N74" s="16"/>
      <c r="O74" s="16"/>
      <c r="P74" s="16"/>
      <c r="Q74" s="16"/>
      <c r="R74" s="16"/>
      <c r="S74" s="16"/>
      <c r="T74" s="16"/>
      <c r="U74" s="16"/>
      <c r="V74" s="6"/>
      <c r="W74" s="6"/>
      <c r="X74" s="6"/>
      <c r="Y74" s="6"/>
      <c r="Z74" s="6"/>
    </row>
    <row r="75" spans="1:26" ht="13.5" customHeight="1">
      <c r="A75" s="16"/>
      <c r="B75" s="16"/>
      <c r="C75" s="16"/>
      <c r="D75" s="16"/>
      <c r="E75" s="16"/>
      <c r="F75" s="16"/>
      <c r="G75" s="16"/>
      <c r="H75" s="16"/>
      <c r="I75" s="16"/>
      <c r="J75" s="16"/>
      <c r="K75" s="16"/>
      <c r="L75" s="16"/>
      <c r="M75" s="16"/>
      <c r="N75" s="16"/>
      <c r="O75" s="16"/>
      <c r="P75" s="16"/>
      <c r="Q75" s="16"/>
      <c r="R75" s="16"/>
      <c r="S75" s="16"/>
      <c r="T75" s="16"/>
      <c r="U75" s="16"/>
      <c r="V75" s="6"/>
      <c r="W75" s="6"/>
      <c r="X75" s="6"/>
      <c r="Y75" s="6"/>
      <c r="Z75" s="6"/>
    </row>
    <row r="76" spans="1:26" ht="13.5" customHeight="1">
      <c r="A76" s="16"/>
      <c r="B76" s="16"/>
      <c r="C76" s="16"/>
      <c r="D76" s="16"/>
      <c r="E76" s="16"/>
      <c r="F76" s="16"/>
      <c r="G76" s="16"/>
      <c r="H76" s="16"/>
      <c r="I76" s="16"/>
      <c r="J76" s="16"/>
      <c r="K76" s="16"/>
      <c r="L76" s="16"/>
      <c r="M76" s="16"/>
      <c r="N76" s="16"/>
      <c r="O76" s="16"/>
      <c r="P76" s="16"/>
      <c r="Q76" s="16"/>
      <c r="R76" s="16"/>
      <c r="S76" s="16"/>
      <c r="T76" s="16"/>
      <c r="U76" s="16"/>
      <c r="V76" s="6"/>
      <c r="W76" s="6"/>
      <c r="X76" s="6"/>
      <c r="Y76" s="6"/>
      <c r="Z76" s="6"/>
    </row>
    <row r="77" spans="1:26" ht="13.5" customHeight="1">
      <c r="A77" s="16"/>
      <c r="B77" s="16"/>
      <c r="C77" s="16"/>
      <c r="D77" s="16"/>
      <c r="E77" s="16"/>
      <c r="F77" s="16"/>
      <c r="G77" s="16"/>
      <c r="H77" s="16"/>
      <c r="I77" s="16"/>
      <c r="J77" s="16"/>
      <c r="K77" s="16"/>
      <c r="L77" s="16"/>
      <c r="M77" s="16"/>
      <c r="N77" s="16"/>
      <c r="O77" s="16"/>
      <c r="P77" s="16"/>
      <c r="Q77" s="16"/>
      <c r="R77" s="16"/>
      <c r="S77" s="16"/>
      <c r="T77" s="16"/>
      <c r="U77" s="16"/>
      <c r="V77" s="6"/>
      <c r="W77" s="6"/>
      <c r="X77" s="6"/>
      <c r="Y77" s="6"/>
      <c r="Z77" s="6"/>
    </row>
    <row r="78" spans="1:26" ht="13.5" customHeight="1">
      <c r="A78" s="16"/>
      <c r="B78" s="16"/>
      <c r="C78" s="16"/>
      <c r="D78" s="16"/>
      <c r="E78" s="16"/>
      <c r="F78" s="16"/>
      <c r="G78" s="16"/>
      <c r="H78" s="16"/>
      <c r="I78" s="16"/>
      <c r="J78" s="16"/>
      <c r="K78" s="16"/>
      <c r="L78" s="16"/>
      <c r="M78" s="16"/>
      <c r="N78" s="16"/>
      <c r="O78" s="16"/>
      <c r="P78" s="16"/>
      <c r="Q78" s="16"/>
      <c r="R78" s="16"/>
      <c r="S78" s="16"/>
      <c r="T78" s="16"/>
      <c r="U78" s="16"/>
      <c r="V78" s="6"/>
      <c r="W78" s="6"/>
      <c r="X78" s="6"/>
      <c r="Y78" s="6"/>
      <c r="Z78" s="6"/>
    </row>
    <row r="79" spans="1:26" ht="13.5" customHeight="1">
      <c r="A79" s="16"/>
      <c r="B79" s="16"/>
      <c r="C79" s="16"/>
      <c r="D79" s="16"/>
      <c r="E79" s="16"/>
      <c r="F79" s="16"/>
      <c r="G79" s="16"/>
      <c r="H79" s="16"/>
      <c r="I79" s="16"/>
      <c r="J79" s="16"/>
      <c r="K79" s="16"/>
      <c r="L79" s="16"/>
      <c r="M79" s="16"/>
      <c r="N79" s="16"/>
      <c r="O79" s="16"/>
      <c r="P79" s="16"/>
      <c r="Q79" s="16"/>
      <c r="R79" s="16"/>
      <c r="S79" s="16"/>
      <c r="T79" s="16"/>
      <c r="U79" s="16"/>
      <c r="V79" s="6"/>
      <c r="W79" s="6"/>
      <c r="X79" s="6"/>
      <c r="Y79" s="6"/>
      <c r="Z79" s="6"/>
    </row>
    <row r="80" spans="1:26" ht="13.5" customHeight="1">
      <c r="A80" s="16"/>
      <c r="B80" s="16"/>
      <c r="C80" s="16"/>
      <c r="D80" s="16"/>
      <c r="E80" s="16"/>
      <c r="F80" s="16"/>
      <c r="G80" s="16"/>
      <c r="H80" s="16"/>
      <c r="I80" s="16"/>
      <c r="J80" s="16"/>
      <c r="K80" s="16"/>
      <c r="L80" s="16"/>
      <c r="M80" s="16"/>
      <c r="N80" s="16"/>
      <c r="O80" s="16"/>
      <c r="P80" s="16"/>
      <c r="Q80" s="16"/>
      <c r="R80" s="16"/>
      <c r="S80" s="16"/>
      <c r="T80" s="16"/>
      <c r="U80" s="16"/>
      <c r="V80" s="6"/>
      <c r="W80" s="6"/>
      <c r="X80" s="6"/>
      <c r="Y80" s="6"/>
      <c r="Z80" s="6"/>
    </row>
    <row r="81" spans="1:26" ht="13.5" customHeight="1">
      <c r="A81" s="16"/>
      <c r="B81" s="16"/>
      <c r="C81" s="16"/>
      <c r="D81" s="16"/>
      <c r="E81" s="16"/>
      <c r="F81" s="16"/>
      <c r="G81" s="16"/>
      <c r="H81" s="16"/>
      <c r="I81" s="16"/>
      <c r="J81" s="16"/>
      <c r="K81" s="16"/>
      <c r="L81" s="16"/>
      <c r="M81" s="16"/>
      <c r="N81" s="16"/>
      <c r="O81" s="16"/>
      <c r="P81" s="16"/>
      <c r="Q81" s="16"/>
      <c r="R81" s="16"/>
      <c r="S81" s="16"/>
      <c r="T81" s="16"/>
      <c r="U81" s="16"/>
      <c r="V81" s="6"/>
      <c r="W81" s="6"/>
      <c r="X81" s="6"/>
      <c r="Y81" s="6"/>
      <c r="Z81" s="6"/>
    </row>
    <row r="82" spans="1:26"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13">
    <mergeCell ref="B26:J26"/>
    <mergeCell ref="B2:F2"/>
    <mergeCell ref="G2:T5"/>
    <mergeCell ref="B3:F3"/>
    <mergeCell ref="B7:J7"/>
    <mergeCell ref="B19:C19"/>
    <mergeCell ref="B21:J21"/>
    <mergeCell ref="H22:J22"/>
    <mergeCell ref="B22:G22"/>
    <mergeCell ref="B23:G23"/>
    <mergeCell ref="H23:J23"/>
    <mergeCell ref="B24:G24"/>
    <mergeCell ref="H24:J24"/>
  </mergeCells>
  <pageMargins left="0.75" right="0.75" top="1" bottom="1"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NOVIEMBRE</t>
        </is>
      </c>
      <c r="C2" s="88"/>
      <c r="D2" s="88"/>
      <c r="E2" s="62">
        <f>'⚙️ Configuración'!C9</f>
        <v>2026</v>
      </c>
      <c r="F2" s="16"/>
      <c r="G2" s="16"/>
      <c r="H2" s="63" t="s">
        <v>216</v>
      </c>
      <c r="I2" s="16"/>
      <c r="J2" s="16"/>
      <c r="K2" s="12"/>
      <c r="L2" s="12"/>
      <c r="M2" s="144" t="inlineStr">
        <is>
          <t>NOVIEMBRE</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Configuración'!$C$9,11,1),2)-1)+1&gt;=1,0-(WEEKDAY(DATE('⚙️ Configuración'!$C$9,11,1),2)-1)+1&lt;=DAY(EOMONTH(DATE('⚙️ Configuración'!$C$9,11,1),0))),0-(WEEKDAY(DATE('⚙️ Configuración'!$C$9,11,1),2)-1)+1,""),"")</f>
        <v/>
      </c>
      <c r="N4" s="68" t="str">
        <f>IFERROR(IF(AND(1-(WEEKDAY(DATE('⚙️ Configuración'!$C$9,11,1),2)-1)+1&gt;=1,1-(WEEKDAY(DATE('⚙️ Configuración'!$C$9,11,1),2)-1)+1&lt;=DAY(EOMONTH(DATE('⚙️ Configuración'!$C$9,11,1),0))),1-(WEEKDAY(DATE('⚙️ Configuración'!$C$9,11,1),2)-1)+1,""),"")</f>
        <v/>
      </c>
      <c r="O4" s="68" t="str">
        <f>IFERROR(IF(AND(2-(WEEKDAY(DATE('⚙️ Configuración'!$C$9,11,1),2)-1)+1&gt;=1,2-(WEEKDAY(DATE('⚙️ Configuración'!$C$9,11,1),2)-1)+1&lt;=DAY(EOMONTH(DATE('⚙️ Configuración'!$C$9,11,1),0))),2-(WEEKDAY(DATE('⚙️ Configuración'!$C$9,11,1),2)-1)+1,""),"")</f>
        <v/>
      </c>
      <c r="P4" s="68">
        <f>IFERROR(IF(AND(3-(WEEKDAY(DATE('⚙️ Configuración'!$C$9,11,1),2)-1)+1&gt;=1,3-(WEEKDAY(DATE('⚙️ Configuración'!$C$9,11,1),2)-1)+1&lt;=DAY(EOMONTH(DATE('⚙️ Configuración'!$C$9,11,1),0))),3-(WEEKDAY(DATE('⚙️ Configuración'!$C$9,11,1),2)-1)+1,""),"")</f>
        <v>1</v>
      </c>
      <c r="Q4" s="68">
        <f>IFERROR(IF(AND(4-(WEEKDAY(DATE('⚙️ Configuración'!$C$9,11,1),2)-1)+1&gt;=1,4-(WEEKDAY(DATE('⚙️ Configuración'!$C$9,11,1),2)-1)+1&lt;=DAY(EOMONTH(DATE('⚙️ Configuración'!$C$9,11,1),0))),4-(WEEKDAY(DATE('⚙️ Configuración'!$C$9,11,1),2)-1)+1,""),"")</f>
        <v>2</v>
      </c>
      <c r="R4" s="68">
        <f>IFERROR(IF(AND(5-(WEEKDAY(DATE('⚙️ Configuración'!$C$9,11,1),2)-1)+1&gt;=1,5-(WEEKDAY(DATE('⚙️ Configuración'!$C$9,11,1),2)-1)+1&lt;=DAY(EOMONTH(DATE('⚙️ Configuración'!$C$9,11,1),0))),5-(WEEKDAY(DATE('⚙️ Configuración'!$C$9,11,1),2)-1)+1,""),"")</f>
        <v>3</v>
      </c>
      <c r="S4" s="68">
        <f>IFERROR(IF(AND(6-(WEEKDAY(DATE('⚙️ Configuración'!$C$9,11,1),2)-1)+1&gt;=1,6-(WEEKDAY(DATE('⚙️ Configuración'!$C$9,11,1),2)-1)+1&lt;=DAY(EOMONTH(DATE('⚙️ Configuración'!$C$9,11,1),0))),6-(WEEKDAY(DATE('⚙️ Configuración'!$C$9,11,1),2)-1)+1,""),"")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Configuración'!$C$9,11,1),2)-1)+1&gt;=1,7-(WEEKDAY(DATE('⚙️ Configuración'!$C$9,11,1),2)-1)+1&lt;=DAY(EOMONTH(DATE('⚙️ Configuración'!$C$9,11,1),0))),7-(WEEKDAY(DATE('⚙️ Configuración'!$C$9,11,1),2)-1)+1,""),"")</f>
        <v>5</v>
      </c>
      <c r="N5" s="68">
        <f>IFERROR(IF(AND(8-(WEEKDAY(DATE('⚙️ Configuración'!$C$9,11,1),2)-1)+1&gt;=1,8-(WEEKDAY(DATE('⚙️ Configuración'!$C$9,11,1),2)-1)+1&lt;=DAY(EOMONTH(DATE('⚙️ Configuración'!$C$9,11,1),0))),8-(WEEKDAY(DATE('⚙️ Configuración'!$C$9,11,1),2)-1)+1,""),"")</f>
        <v>6</v>
      </c>
      <c r="O5" s="68">
        <f>IFERROR(IF(AND(9-(WEEKDAY(DATE('⚙️ Configuración'!$C$9,11,1),2)-1)+1&gt;=1,9-(WEEKDAY(DATE('⚙️ Configuración'!$C$9,11,1),2)-1)+1&lt;=DAY(EOMONTH(DATE('⚙️ Configuración'!$C$9,11,1),0))),9-(WEEKDAY(DATE('⚙️ Configuración'!$C$9,11,1),2)-1)+1,""),"")</f>
        <v>7</v>
      </c>
      <c r="P5" s="68">
        <f>IFERROR(IF(AND(10-(WEEKDAY(DATE('⚙️ Configuración'!$C$9,11,1),2)-1)+1&gt;=1,10-(WEEKDAY(DATE('⚙️ Configuración'!$C$9,11,1),2)-1)+1&lt;=DAY(EOMONTH(DATE('⚙️ Configuración'!$C$9,11,1),0))),10-(WEEKDAY(DATE('⚙️ Configuración'!$C$9,11,1),2)-1)+1,""),"")</f>
        <v>8</v>
      </c>
      <c r="Q5" s="68">
        <f>IFERROR(IF(AND(11-(WEEKDAY(DATE('⚙️ Configuración'!$C$9,11,1),2)-1)+1&gt;=1,11-(WEEKDAY(DATE('⚙️ Configuración'!$C$9,11,1),2)-1)+1&lt;=DAY(EOMONTH(DATE('⚙️ Configuración'!$C$9,11,1),0))),11-(WEEKDAY(DATE('⚙️ Configuración'!$C$9,11,1),2)-1)+1,""),"")</f>
        <v>9</v>
      </c>
      <c r="R5" s="68">
        <f>IFERROR(IF(AND(12-(WEEKDAY(DATE('⚙️ Configuración'!$C$9,11,1),2)-1)+1&gt;=1,12-(WEEKDAY(DATE('⚙️ Configuración'!$C$9,11,1),2)-1)+1&lt;=DAY(EOMONTH(DATE('⚙️ Configuración'!$C$9,11,1),0))),12-(WEEKDAY(DATE('⚙️ Configuración'!$C$9,11,1),2)-1)+1,""),"")</f>
        <v>10</v>
      </c>
      <c r="S5" s="68">
        <f>IFERROR(IF(AND(13-(WEEKDAY(DATE('⚙️ Configuración'!$C$9,11,1),2)-1)+1&gt;=1,13-(WEEKDAY(DATE('⚙️ Configuración'!$C$9,11,1),2)-1)+1&lt;=DAY(EOMONTH(DATE('⚙️ Configuración'!$C$9,11,1),0))),13-(WEEKDAY(DATE('⚙️ Configuración'!$C$9,11,1),2)-1)+1,""),"")</f>
        <v>11</v>
      </c>
      <c r="T5" s="6"/>
      <c r="U5" s="6"/>
      <c r="V5" s="16"/>
      <c r="W5" s="16"/>
      <c r="X5" s="16"/>
      <c r="Y5" s="28" t="s">
        <v>153</v>
      </c>
      <c r="Z5" s="67">
        <f t="shared" ref="Z5:AA5" si="2">E44</f>
        <v>0</v>
      </c>
      <c r="AA5" s="67">
        <f t="shared" si="2"/>
        <v>0</v>
      </c>
      <c r="AB5" s="16"/>
    </row>
    <row r="6" spans="1:28" ht="16.5" customHeight="1">
      <c r="A6" s="16"/>
      <c r="B6" s="153" t="str">
        <f>IF(SUM(F11:F52)=0,"📝  Noviembre todavía no tiene datos. Empezá por la columna Real","✅  Mes cargado. Todos los cálculos se actualizan solos")</f>
        <v>📝  Noviembre todavía no tiene datos. Empezá por la columna Real</v>
      </c>
      <c r="C6" s="88"/>
      <c r="D6" s="88"/>
      <c r="E6" s="88"/>
      <c r="F6" s="88"/>
      <c r="G6" s="88"/>
      <c r="H6" s="88"/>
      <c r="I6" s="16"/>
      <c r="J6" s="16"/>
      <c r="K6" s="12"/>
      <c r="L6" s="12"/>
      <c r="M6" s="68">
        <f>IFERROR(IF(AND(14-(WEEKDAY(DATE('⚙️ Configuración'!$C$9,11,1),2)-1)+1&gt;=1,14-(WEEKDAY(DATE('⚙️ Configuración'!$C$9,11,1),2)-1)+1&lt;=DAY(EOMONTH(DATE('⚙️ Configuración'!$C$9,11,1),0))),14-(WEEKDAY(DATE('⚙️ Configuración'!$C$9,11,1),2)-1)+1,""),"")</f>
        <v>12</v>
      </c>
      <c r="N6" s="68">
        <f>IFERROR(IF(AND(15-(WEEKDAY(DATE('⚙️ Configuración'!$C$9,11,1),2)-1)+1&gt;=1,15-(WEEKDAY(DATE('⚙️ Configuración'!$C$9,11,1),2)-1)+1&lt;=DAY(EOMONTH(DATE('⚙️ Configuración'!$C$9,11,1),0))),15-(WEEKDAY(DATE('⚙️ Configuración'!$C$9,11,1),2)-1)+1,""),"")</f>
        <v>13</v>
      </c>
      <c r="O6" s="68">
        <f>IFERROR(IF(AND(16-(WEEKDAY(DATE('⚙️ Configuración'!$C$9,11,1),2)-1)+1&gt;=1,16-(WEEKDAY(DATE('⚙️ Configuración'!$C$9,11,1),2)-1)+1&lt;=DAY(EOMONTH(DATE('⚙️ Configuración'!$C$9,11,1),0))),16-(WEEKDAY(DATE('⚙️ Configuración'!$C$9,11,1),2)-1)+1,""),"")</f>
        <v>14</v>
      </c>
      <c r="P6" s="68">
        <f>IFERROR(IF(AND(17-(WEEKDAY(DATE('⚙️ Configuración'!$C$9,11,1),2)-1)+1&gt;=1,17-(WEEKDAY(DATE('⚙️ Configuración'!$C$9,11,1),2)-1)+1&lt;=DAY(EOMONTH(DATE('⚙️ Configuración'!$C$9,11,1),0))),17-(WEEKDAY(DATE('⚙️ Configuración'!$C$9,11,1),2)-1)+1,""),"")</f>
        <v>15</v>
      </c>
      <c r="Q6" s="68">
        <f>IFERROR(IF(AND(18-(WEEKDAY(DATE('⚙️ Configuración'!$C$9,11,1),2)-1)+1&gt;=1,18-(WEEKDAY(DATE('⚙️ Configuración'!$C$9,11,1),2)-1)+1&lt;=DAY(EOMONTH(DATE('⚙️ Configuración'!$C$9,11,1),0))),18-(WEEKDAY(DATE('⚙️ Configuración'!$C$9,11,1),2)-1)+1,""),"")</f>
        <v>16</v>
      </c>
      <c r="R6" s="68">
        <f>IFERROR(IF(AND(19-(WEEKDAY(DATE('⚙️ Configuración'!$C$9,11,1),2)-1)+1&gt;=1,19-(WEEKDAY(DATE('⚙️ Configuración'!$C$9,11,1),2)-1)+1&lt;=DAY(EOMONTH(DATE('⚙️ Configuración'!$C$9,11,1),0))),19-(WEEKDAY(DATE('⚙️ Configuración'!$C$9,11,1),2)-1)+1,""),"")</f>
        <v>17</v>
      </c>
      <c r="S6" s="68">
        <f>IFERROR(IF(AND(20-(WEEKDAY(DATE('⚙️ Configuración'!$C$9,11,1),2)-1)+1&gt;=1,20-(WEEKDAY(DATE('⚙️ Configuración'!$C$9,11,1),2)-1)+1&lt;=DAY(EOMONTH(DATE('⚙️ Configuración'!$C$9,11,1),0))),20-(WEEKDAY(DATE('⚙️ Configuración'!$C$9,11,1),2)-1)+1,""),"")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Configuración'!$C$9,11,1),2)-1)+1&gt;=1,21-(WEEKDAY(DATE('⚙️ Configuración'!$C$9,11,1),2)-1)+1&lt;=DAY(EOMONTH(DATE('⚙️ Configuración'!$C$9,11,1),0))),21-(WEEKDAY(DATE('⚙️ Configuración'!$C$9,11,1),2)-1)+1,""),"")</f>
        <v>19</v>
      </c>
      <c r="N7" s="68">
        <f>IFERROR(IF(AND(22-(WEEKDAY(DATE('⚙️ Configuración'!$C$9,11,1),2)-1)+1&gt;=1,22-(WEEKDAY(DATE('⚙️ Configuración'!$C$9,11,1),2)-1)+1&lt;=DAY(EOMONTH(DATE('⚙️ Configuración'!$C$9,11,1),0))),22-(WEEKDAY(DATE('⚙️ Configuración'!$C$9,11,1),2)-1)+1,""),"")</f>
        <v>20</v>
      </c>
      <c r="O7" s="68">
        <f>IFERROR(IF(AND(23-(WEEKDAY(DATE('⚙️ Configuración'!$C$9,11,1),2)-1)+1&gt;=1,23-(WEEKDAY(DATE('⚙️ Configuración'!$C$9,11,1),2)-1)+1&lt;=DAY(EOMONTH(DATE('⚙️ Configuración'!$C$9,11,1),0))),23-(WEEKDAY(DATE('⚙️ Configuración'!$C$9,11,1),2)-1)+1,""),"")</f>
        <v>21</v>
      </c>
      <c r="P7" s="68">
        <f>IFERROR(IF(AND(24-(WEEKDAY(DATE('⚙️ Configuración'!$C$9,11,1),2)-1)+1&gt;=1,24-(WEEKDAY(DATE('⚙️ Configuración'!$C$9,11,1),2)-1)+1&lt;=DAY(EOMONTH(DATE('⚙️ Configuración'!$C$9,11,1),0))),24-(WEEKDAY(DATE('⚙️ Configuración'!$C$9,11,1),2)-1)+1,""),"")</f>
        <v>22</v>
      </c>
      <c r="Q7" s="68">
        <f>IFERROR(IF(AND(25-(WEEKDAY(DATE('⚙️ Configuración'!$C$9,11,1),2)-1)+1&gt;=1,25-(WEEKDAY(DATE('⚙️ Configuración'!$C$9,11,1),2)-1)+1&lt;=DAY(EOMONTH(DATE('⚙️ Configuración'!$C$9,11,1),0))),25-(WEEKDAY(DATE('⚙️ Configuración'!$C$9,11,1),2)-1)+1,""),"")</f>
        <v>23</v>
      </c>
      <c r="R7" s="68">
        <f>IFERROR(IF(AND(26-(WEEKDAY(DATE('⚙️ Configuración'!$C$9,11,1),2)-1)+1&gt;=1,26-(WEEKDAY(DATE('⚙️ Configuración'!$C$9,11,1),2)-1)+1&lt;=DAY(EOMONTH(DATE('⚙️ Configuración'!$C$9,11,1),0))),26-(WEEKDAY(DATE('⚙️ Configuración'!$C$9,11,1),2)-1)+1,""),"")</f>
        <v>24</v>
      </c>
      <c r="S7" s="68">
        <f>IFERROR(IF(AND(27-(WEEKDAY(DATE('⚙️ Configuración'!$C$9,11,1),2)-1)+1&gt;=1,27-(WEEKDAY(DATE('⚙️ Configuración'!$C$9,11,1),2)-1)+1&lt;=DAY(EOMONTH(DATE('⚙️ Configuración'!$C$9,11,1),0))),27-(WEEKDAY(DATE('⚙️ Configuración'!$C$9,11,1),2)-1)+1,""),"")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Configuración'!$C$9,11,1),2)-1)+1&gt;=1,28-(WEEKDAY(DATE('⚙️ Configuración'!$C$9,11,1),2)-1)+1&lt;=DAY(EOMONTH(DATE('⚙️ Configuración'!$C$9,11,1),0))),28-(WEEKDAY(DATE('⚙️ Configuración'!$C$9,11,1),2)-1)+1,""),"")</f>
        <v>26</v>
      </c>
      <c r="N8" s="68">
        <f>IFERROR(IF(AND(29-(WEEKDAY(DATE('⚙️ Configuración'!$C$9,11,1),2)-1)+1&gt;=1,29-(WEEKDAY(DATE('⚙️ Configuración'!$C$9,11,1),2)-1)+1&lt;=DAY(EOMONTH(DATE('⚙️ Configuración'!$C$9,11,1),0))),29-(WEEKDAY(DATE('⚙️ Configuración'!$C$9,11,1),2)-1)+1,""),"")</f>
        <v>27</v>
      </c>
      <c r="O8" s="68">
        <f>IFERROR(IF(AND(30-(WEEKDAY(DATE('⚙️ Configuración'!$C$9,11,1),2)-1)+1&gt;=1,30-(WEEKDAY(DATE('⚙️ Configuración'!$C$9,11,1),2)-1)+1&lt;=DAY(EOMONTH(DATE('⚙️ Configuración'!$C$9,11,1),0))),30-(WEEKDAY(DATE('⚙️ Configuración'!$C$9,11,1),2)-1)+1,""),"")</f>
        <v>28</v>
      </c>
      <c r="P8" s="68">
        <f>IFERROR(IF(AND(31-(WEEKDAY(DATE('⚙️ Configuración'!$C$9,11,1),2)-1)+1&gt;=1,31-(WEEKDAY(DATE('⚙️ Configuración'!$C$9,11,1),2)-1)+1&lt;=DAY(EOMONTH(DATE('⚙️ Configuración'!$C$9,11,1),0))),31-(WEEKDAY(DATE('⚙️ Configuración'!$C$9,11,1),2)-1)+1,""),"")</f>
        <v>29</v>
      </c>
      <c r="Q8" s="68">
        <f>IFERROR(IF(AND(32-(WEEKDAY(DATE('⚙️ Configuración'!$C$9,11,1),2)-1)+1&gt;=1,32-(WEEKDAY(DATE('⚙️ Configuración'!$C$9,11,1),2)-1)+1&lt;=DAY(EOMONTH(DATE('⚙️ Configuración'!$C$9,11,1),0))),32-(WEEKDAY(DATE('⚙️ Configuración'!$C$9,11,1),2)-1)+1,""),"")</f>
        <v>30</v>
      </c>
      <c r="R8" s="68">
        <f>IFERROR(IF(AND(33-(WEEKDAY(DATE('⚙️ Configuración'!$C$9,11,1),2)-1)+1&gt;=1,33-(WEEKDAY(DATE('⚙️ Configuración'!$C$9,11,1),2)-1)+1&lt;=DAY(EOMONTH(DATE('⚙️ Configuración'!$C$9,11,1),0))),33-(WEEKDAY(DATE('⚙️ Configuración'!$C$9,11,1),2)-1)+1,""),"")</f>
        <v>31</v>
      </c>
      <c r="S8" s="68" t="str">
        <f>IFERROR(IF(AND(34-(WEEKDAY(DATE('⚙️ Configuración'!$C$9,11,1),2)-1)+1&gt;=1,34-(WEEKDAY(DATE('⚙️ Configuración'!$C$9,11,1),2)-1)+1&lt;=DAY(EOMONTH(DATE('⚙️ Configuración'!$C$9,11,1),0))),34-(WEEKDAY(DATE('⚙️ Configuración'!$C$9,11,1),2)-1)+1,""),"")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Configuración'!$C$9,11,1),2)-1)+1&gt;=1,35-(WEEKDAY(DATE('⚙️ Configuración'!$C$9,11,1),2)-1)+1&lt;=DAY(EOMONTH(DATE('⚙️ Configuración'!$C$9,11,1),0))),35-(WEEKDAY(DATE('⚙️ Configuración'!$C$9,11,1),2)-1)+1,""),"")</f>
        <v/>
      </c>
      <c r="N9" s="68" t="str">
        <f>IFERROR(IF(AND(36-(WEEKDAY(DATE('⚙️ Configuración'!$C$9,11,1),2)-1)+1&gt;=1,36-(WEEKDAY(DATE('⚙️ Configuración'!$C$9,11,1),2)-1)+1&lt;=DAY(EOMONTH(DATE('⚙️ Configuración'!$C$9,11,1),0))),36-(WEEKDAY(DATE('⚙️ Configuración'!$C$9,11,1),2)-1)+1,""),"")</f>
        <v/>
      </c>
      <c r="O9" s="68" t="str">
        <f>IFERROR(IF(AND(37-(WEEKDAY(DATE('⚙️ Configuración'!$C$9,11,1),2)-1)+1&gt;=1,37-(WEEKDAY(DATE('⚙️ Configuración'!$C$9,11,1),2)-1)+1&lt;=DAY(EOMONTH(DATE('⚙️ Configuración'!$C$9,11,1),0))),37-(WEEKDAY(DATE('⚙️ Configuración'!$C$9,11,1),2)-1)+1,""),"")</f>
        <v/>
      </c>
      <c r="P9" s="68" t="str">
        <f>IFERROR(IF(AND(38-(WEEKDAY(DATE('⚙️ Configuración'!$C$9,11,1),2)-1)+1&gt;=1,38-(WEEKDAY(DATE('⚙️ Configuración'!$C$9,11,1),2)-1)+1&lt;=DAY(EOMONTH(DATE('⚙️ Configuración'!$C$9,11,1),0))),38-(WEEKDAY(DATE('⚙️ Configuración'!$C$9,11,1),2)-1)+1,""),"")</f>
        <v/>
      </c>
      <c r="Q9" s="68" t="str">
        <f>IFERROR(IF(AND(39-(WEEKDAY(DATE('⚙️ Configuración'!$C$9,11,1),2)-1)+1&gt;=1,39-(WEEKDAY(DATE('⚙️ Configuración'!$C$9,11,1),2)-1)+1&lt;=DAY(EOMONTH(DATE('⚙️ Configuración'!$C$9,11,1),0))),39-(WEEKDAY(DATE('⚙️ Configuración'!$C$9,11,1),2)-1)+1,""),"")</f>
        <v/>
      </c>
      <c r="R9" s="68" t="str">
        <f>IFERROR(IF(AND(40-(WEEKDAY(DATE('⚙️ Configuración'!$C$9,11,1),2)-1)+1&gt;=1,40-(WEEKDAY(DATE('⚙️ Configuración'!$C$9,11,1),2)-1)+1&lt;=DAY(EOMONTH(DATE('⚙️ Configuración'!$C$9,11,1),0))),40-(WEEKDAY(DATE('⚙️ Configuración'!$C$9,11,1),2)-1)+1,""),"")</f>
        <v/>
      </c>
      <c r="S9" s="68" t="str">
        <f>IFERROR(IF(AND(41-(WEEKDAY(DATE('⚙️ Configuración'!$C$9,11,1),2)-1)+1&gt;=1,41-(WEEKDAY(DATE('⚙️ Configuración'!$C$9,11,1),2)-1)+1&lt;=DAY(EOMONTH(DATE('⚙️ Configuración'!$C$9,11,1),0))),41-(WEEKDAY(DATE('⚙️ Configuración'!$C$9,11,1),2)-1)+1,""),"")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DICIEMBRE</t>
        </is>
      </c>
      <c r="C2" s="88"/>
      <c r="D2" s="88"/>
      <c r="E2" s="62">
        <f>'⚙️ Configuración'!C9</f>
        <v>2026</v>
      </c>
      <c r="F2" s="16"/>
      <c r="G2" s="16"/>
      <c r="H2" s="63" t="s">
        <v>216</v>
      </c>
      <c r="I2" s="16"/>
      <c r="J2" s="16"/>
      <c r="K2" s="12"/>
      <c r="L2" s="12"/>
      <c r="M2" s="144" t="inlineStr">
        <is>
          <t>DICIEMBRE</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Configuración'!$C$9,12,1),2)-1)+1&gt;=1,0-(WEEKDAY(DATE('⚙️ Configuración'!$C$9,12,1),2)-1)+1&lt;=DAY(EOMONTH(DATE('⚙️ Configuración'!$C$9,12,1),0))),0-(WEEKDAY(DATE('⚙️ Configuración'!$C$9,12,1),2)-1)+1,""),"")</f>
        <v/>
      </c>
      <c r="N4" s="68" t="str">
        <f>IFERROR(IF(AND(1-(WEEKDAY(DATE('⚙️ Configuración'!$C$9,12,1),2)-1)+1&gt;=1,1-(WEEKDAY(DATE('⚙️ Configuración'!$C$9,12,1),2)-1)+1&lt;=DAY(EOMONTH(DATE('⚙️ Configuración'!$C$9,12,1),0))),1-(WEEKDAY(DATE('⚙️ Configuración'!$C$9,12,1),2)-1)+1,""),"")</f>
        <v/>
      </c>
      <c r="O4" s="68" t="str">
        <f>IFERROR(IF(AND(2-(WEEKDAY(DATE('⚙️ Configuración'!$C$9,12,1),2)-1)+1&gt;=1,2-(WEEKDAY(DATE('⚙️ Configuración'!$C$9,12,1),2)-1)+1&lt;=DAY(EOMONTH(DATE('⚙️ Configuración'!$C$9,12,1),0))),2-(WEEKDAY(DATE('⚙️ Configuración'!$C$9,12,1),2)-1)+1,""),"")</f>
        <v/>
      </c>
      <c r="P4" s="68">
        <f>IFERROR(IF(AND(3-(WEEKDAY(DATE('⚙️ Configuración'!$C$9,12,1),2)-1)+1&gt;=1,3-(WEEKDAY(DATE('⚙️ Configuración'!$C$9,12,1),2)-1)+1&lt;=DAY(EOMONTH(DATE('⚙️ Configuración'!$C$9,12,1),0))),3-(WEEKDAY(DATE('⚙️ Configuración'!$C$9,12,1),2)-1)+1,""),"")</f>
        <v>1</v>
      </c>
      <c r="Q4" s="68">
        <f>IFERROR(IF(AND(4-(WEEKDAY(DATE('⚙️ Configuración'!$C$9,12,1),2)-1)+1&gt;=1,4-(WEEKDAY(DATE('⚙️ Configuración'!$C$9,12,1),2)-1)+1&lt;=DAY(EOMONTH(DATE('⚙️ Configuración'!$C$9,12,1),0))),4-(WEEKDAY(DATE('⚙️ Configuración'!$C$9,12,1),2)-1)+1,""),"")</f>
        <v>2</v>
      </c>
      <c r="R4" s="68">
        <f>IFERROR(IF(AND(5-(WEEKDAY(DATE('⚙️ Configuración'!$C$9,12,1),2)-1)+1&gt;=1,5-(WEEKDAY(DATE('⚙️ Configuración'!$C$9,12,1),2)-1)+1&lt;=DAY(EOMONTH(DATE('⚙️ Configuración'!$C$9,12,1),0))),5-(WEEKDAY(DATE('⚙️ Configuración'!$C$9,12,1),2)-1)+1,""),"")</f>
        <v>3</v>
      </c>
      <c r="S4" s="68">
        <f>IFERROR(IF(AND(6-(WEEKDAY(DATE('⚙️ Configuración'!$C$9,12,1),2)-1)+1&gt;=1,6-(WEEKDAY(DATE('⚙️ Configuración'!$C$9,12,1),2)-1)+1&lt;=DAY(EOMONTH(DATE('⚙️ Configuración'!$C$9,12,1),0))),6-(WEEKDAY(DATE('⚙️ Configuración'!$C$9,12,1),2)-1)+1,""),"")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Configuración'!$C$9,12,1),2)-1)+1&gt;=1,7-(WEEKDAY(DATE('⚙️ Configuración'!$C$9,12,1),2)-1)+1&lt;=DAY(EOMONTH(DATE('⚙️ Configuración'!$C$9,12,1),0))),7-(WEEKDAY(DATE('⚙️ Configuración'!$C$9,12,1),2)-1)+1,""),"")</f>
        <v>5</v>
      </c>
      <c r="N5" s="68">
        <f>IFERROR(IF(AND(8-(WEEKDAY(DATE('⚙️ Configuración'!$C$9,12,1),2)-1)+1&gt;=1,8-(WEEKDAY(DATE('⚙️ Configuración'!$C$9,12,1),2)-1)+1&lt;=DAY(EOMONTH(DATE('⚙️ Configuración'!$C$9,12,1),0))),8-(WEEKDAY(DATE('⚙️ Configuración'!$C$9,12,1),2)-1)+1,""),"")</f>
        <v>6</v>
      </c>
      <c r="O5" s="68">
        <f>IFERROR(IF(AND(9-(WEEKDAY(DATE('⚙️ Configuración'!$C$9,12,1),2)-1)+1&gt;=1,9-(WEEKDAY(DATE('⚙️ Configuración'!$C$9,12,1),2)-1)+1&lt;=DAY(EOMONTH(DATE('⚙️ Configuración'!$C$9,12,1),0))),9-(WEEKDAY(DATE('⚙️ Configuración'!$C$9,12,1),2)-1)+1,""),"")</f>
        <v>7</v>
      </c>
      <c r="P5" s="68">
        <f>IFERROR(IF(AND(10-(WEEKDAY(DATE('⚙️ Configuración'!$C$9,12,1),2)-1)+1&gt;=1,10-(WEEKDAY(DATE('⚙️ Configuración'!$C$9,12,1),2)-1)+1&lt;=DAY(EOMONTH(DATE('⚙️ Configuración'!$C$9,12,1),0))),10-(WEEKDAY(DATE('⚙️ Configuración'!$C$9,12,1),2)-1)+1,""),"")</f>
        <v>8</v>
      </c>
      <c r="Q5" s="68">
        <f>IFERROR(IF(AND(11-(WEEKDAY(DATE('⚙️ Configuración'!$C$9,12,1),2)-1)+1&gt;=1,11-(WEEKDAY(DATE('⚙️ Configuración'!$C$9,12,1),2)-1)+1&lt;=DAY(EOMONTH(DATE('⚙️ Configuración'!$C$9,12,1),0))),11-(WEEKDAY(DATE('⚙️ Configuración'!$C$9,12,1),2)-1)+1,""),"")</f>
        <v>9</v>
      </c>
      <c r="R5" s="68">
        <f>IFERROR(IF(AND(12-(WEEKDAY(DATE('⚙️ Configuración'!$C$9,12,1),2)-1)+1&gt;=1,12-(WEEKDAY(DATE('⚙️ Configuración'!$C$9,12,1),2)-1)+1&lt;=DAY(EOMONTH(DATE('⚙️ Configuración'!$C$9,12,1),0))),12-(WEEKDAY(DATE('⚙️ Configuración'!$C$9,12,1),2)-1)+1,""),"")</f>
        <v>10</v>
      </c>
      <c r="S5" s="68">
        <f>IFERROR(IF(AND(13-(WEEKDAY(DATE('⚙️ Configuración'!$C$9,12,1),2)-1)+1&gt;=1,13-(WEEKDAY(DATE('⚙️ Configuración'!$C$9,12,1),2)-1)+1&lt;=DAY(EOMONTH(DATE('⚙️ Configuración'!$C$9,12,1),0))),13-(WEEKDAY(DATE('⚙️ Configuración'!$C$9,12,1),2)-1)+1,""),"")</f>
        <v>11</v>
      </c>
      <c r="T5" s="6"/>
      <c r="U5" s="6"/>
      <c r="V5" s="16"/>
      <c r="W5" s="16"/>
      <c r="X5" s="16"/>
      <c r="Y5" s="28" t="s">
        <v>153</v>
      </c>
      <c r="Z5" s="67">
        <f t="shared" ref="Z5:AA5" si="2">E44</f>
        <v>0</v>
      </c>
      <c r="AA5" s="67">
        <f t="shared" si="2"/>
        <v>0</v>
      </c>
      <c r="AB5" s="16"/>
    </row>
    <row r="6" spans="1:28" ht="16.5" customHeight="1">
      <c r="A6" s="16"/>
      <c r="B6" s="153" t="str">
        <f>IF(SUM(F11:F52)=0,"📝  Diciembre todavía no tiene datos. Empezá por la columna Real","✅  Mes cargado. Todos los cálculos se actualizan solos")</f>
        <v>📝  Diciembre todavía no tiene datos. Empezá por la columna Real</v>
      </c>
      <c r="C6" s="88"/>
      <c r="D6" s="88"/>
      <c r="E6" s="88"/>
      <c r="F6" s="88"/>
      <c r="G6" s="88"/>
      <c r="H6" s="88"/>
      <c r="I6" s="16"/>
      <c r="J6" s="16"/>
      <c r="K6" s="12"/>
      <c r="L6" s="12"/>
      <c r="M6" s="68">
        <f>IFERROR(IF(AND(14-(WEEKDAY(DATE('⚙️ Configuración'!$C$9,12,1),2)-1)+1&gt;=1,14-(WEEKDAY(DATE('⚙️ Configuración'!$C$9,12,1),2)-1)+1&lt;=DAY(EOMONTH(DATE('⚙️ Configuración'!$C$9,12,1),0))),14-(WEEKDAY(DATE('⚙️ Configuración'!$C$9,12,1),2)-1)+1,""),"")</f>
        <v>12</v>
      </c>
      <c r="N6" s="68">
        <f>IFERROR(IF(AND(15-(WEEKDAY(DATE('⚙️ Configuración'!$C$9,12,1),2)-1)+1&gt;=1,15-(WEEKDAY(DATE('⚙️ Configuración'!$C$9,12,1),2)-1)+1&lt;=DAY(EOMONTH(DATE('⚙️ Configuración'!$C$9,12,1),0))),15-(WEEKDAY(DATE('⚙️ Configuración'!$C$9,12,1),2)-1)+1,""),"")</f>
        <v>13</v>
      </c>
      <c r="O6" s="68">
        <f>IFERROR(IF(AND(16-(WEEKDAY(DATE('⚙️ Configuración'!$C$9,12,1),2)-1)+1&gt;=1,16-(WEEKDAY(DATE('⚙️ Configuración'!$C$9,12,1),2)-1)+1&lt;=DAY(EOMONTH(DATE('⚙️ Configuración'!$C$9,12,1),0))),16-(WEEKDAY(DATE('⚙️ Configuración'!$C$9,12,1),2)-1)+1,""),"")</f>
        <v>14</v>
      </c>
      <c r="P6" s="68">
        <f>IFERROR(IF(AND(17-(WEEKDAY(DATE('⚙️ Configuración'!$C$9,12,1),2)-1)+1&gt;=1,17-(WEEKDAY(DATE('⚙️ Configuración'!$C$9,12,1),2)-1)+1&lt;=DAY(EOMONTH(DATE('⚙️ Configuración'!$C$9,12,1),0))),17-(WEEKDAY(DATE('⚙️ Configuración'!$C$9,12,1),2)-1)+1,""),"")</f>
        <v>15</v>
      </c>
      <c r="Q6" s="68">
        <f>IFERROR(IF(AND(18-(WEEKDAY(DATE('⚙️ Configuración'!$C$9,12,1),2)-1)+1&gt;=1,18-(WEEKDAY(DATE('⚙️ Configuración'!$C$9,12,1),2)-1)+1&lt;=DAY(EOMONTH(DATE('⚙️ Configuración'!$C$9,12,1),0))),18-(WEEKDAY(DATE('⚙️ Configuración'!$C$9,12,1),2)-1)+1,""),"")</f>
        <v>16</v>
      </c>
      <c r="R6" s="68">
        <f>IFERROR(IF(AND(19-(WEEKDAY(DATE('⚙️ Configuración'!$C$9,12,1),2)-1)+1&gt;=1,19-(WEEKDAY(DATE('⚙️ Configuración'!$C$9,12,1),2)-1)+1&lt;=DAY(EOMONTH(DATE('⚙️ Configuración'!$C$9,12,1),0))),19-(WEEKDAY(DATE('⚙️ Configuración'!$C$9,12,1),2)-1)+1,""),"")</f>
        <v>17</v>
      </c>
      <c r="S6" s="68">
        <f>IFERROR(IF(AND(20-(WEEKDAY(DATE('⚙️ Configuración'!$C$9,12,1),2)-1)+1&gt;=1,20-(WEEKDAY(DATE('⚙️ Configuración'!$C$9,12,1),2)-1)+1&lt;=DAY(EOMONTH(DATE('⚙️ Configuración'!$C$9,12,1),0))),20-(WEEKDAY(DATE('⚙️ Configuración'!$C$9,12,1),2)-1)+1,""),"")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Configuración'!$C$9,12,1),2)-1)+1&gt;=1,21-(WEEKDAY(DATE('⚙️ Configuración'!$C$9,12,1),2)-1)+1&lt;=DAY(EOMONTH(DATE('⚙️ Configuración'!$C$9,12,1),0))),21-(WEEKDAY(DATE('⚙️ Configuración'!$C$9,12,1),2)-1)+1,""),"")</f>
        <v>19</v>
      </c>
      <c r="N7" s="68">
        <f>IFERROR(IF(AND(22-(WEEKDAY(DATE('⚙️ Configuración'!$C$9,12,1),2)-1)+1&gt;=1,22-(WEEKDAY(DATE('⚙️ Configuración'!$C$9,12,1),2)-1)+1&lt;=DAY(EOMONTH(DATE('⚙️ Configuración'!$C$9,12,1),0))),22-(WEEKDAY(DATE('⚙️ Configuración'!$C$9,12,1),2)-1)+1,""),"")</f>
        <v>20</v>
      </c>
      <c r="O7" s="68">
        <f>IFERROR(IF(AND(23-(WEEKDAY(DATE('⚙️ Configuración'!$C$9,12,1),2)-1)+1&gt;=1,23-(WEEKDAY(DATE('⚙️ Configuración'!$C$9,12,1),2)-1)+1&lt;=DAY(EOMONTH(DATE('⚙️ Configuración'!$C$9,12,1),0))),23-(WEEKDAY(DATE('⚙️ Configuración'!$C$9,12,1),2)-1)+1,""),"")</f>
        <v>21</v>
      </c>
      <c r="P7" s="68">
        <f>IFERROR(IF(AND(24-(WEEKDAY(DATE('⚙️ Configuración'!$C$9,12,1),2)-1)+1&gt;=1,24-(WEEKDAY(DATE('⚙️ Configuración'!$C$9,12,1),2)-1)+1&lt;=DAY(EOMONTH(DATE('⚙️ Configuración'!$C$9,12,1),0))),24-(WEEKDAY(DATE('⚙️ Configuración'!$C$9,12,1),2)-1)+1,""),"")</f>
        <v>22</v>
      </c>
      <c r="Q7" s="68">
        <f>IFERROR(IF(AND(25-(WEEKDAY(DATE('⚙️ Configuración'!$C$9,12,1),2)-1)+1&gt;=1,25-(WEEKDAY(DATE('⚙️ Configuración'!$C$9,12,1),2)-1)+1&lt;=DAY(EOMONTH(DATE('⚙️ Configuración'!$C$9,12,1),0))),25-(WEEKDAY(DATE('⚙️ Configuración'!$C$9,12,1),2)-1)+1,""),"")</f>
        <v>23</v>
      </c>
      <c r="R7" s="68">
        <f>IFERROR(IF(AND(26-(WEEKDAY(DATE('⚙️ Configuración'!$C$9,12,1),2)-1)+1&gt;=1,26-(WEEKDAY(DATE('⚙️ Configuración'!$C$9,12,1),2)-1)+1&lt;=DAY(EOMONTH(DATE('⚙️ Configuración'!$C$9,12,1),0))),26-(WEEKDAY(DATE('⚙️ Configuración'!$C$9,12,1),2)-1)+1,""),"")</f>
        <v>24</v>
      </c>
      <c r="S7" s="68">
        <f>IFERROR(IF(AND(27-(WEEKDAY(DATE('⚙️ Configuración'!$C$9,12,1),2)-1)+1&gt;=1,27-(WEEKDAY(DATE('⚙️ Configuración'!$C$9,12,1),2)-1)+1&lt;=DAY(EOMONTH(DATE('⚙️ Configuración'!$C$9,12,1),0))),27-(WEEKDAY(DATE('⚙️ Configuración'!$C$9,12,1),2)-1)+1,""),"")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Configuración'!$C$9,12,1),2)-1)+1&gt;=1,28-(WEEKDAY(DATE('⚙️ Configuración'!$C$9,12,1),2)-1)+1&lt;=DAY(EOMONTH(DATE('⚙️ Configuración'!$C$9,12,1),0))),28-(WEEKDAY(DATE('⚙️ Configuración'!$C$9,12,1),2)-1)+1,""),"")</f>
        <v>26</v>
      </c>
      <c r="N8" s="68">
        <f>IFERROR(IF(AND(29-(WEEKDAY(DATE('⚙️ Configuración'!$C$9,12,1),2)-1)+1&gt;=1,29-(WEEKDAY(DATE('⚙️ Configuración'!$C$9,12,1),2)-1)+1&lt;=DAY(EOMONTH(DATE('⚙️ Configuración'!$C$9,12,1),0))),29-(WEEKDAY(DATE('⚙️ Configuración'!$C$9,12,1),2)-1)+1,""),"")</f>
        <v>27</v>
      </c>
      <c r="O8" s="68">
        <f>IFERROR(IF(AND(30-(WEEKDAY(DATE('⚙️ Configuración'!$C$9,12,1),2)-1)+1&gt;=1,30-(WEEKDAY(DATE('⚙️ Configuración'!$C$9,12,1),2)-1)+1&lt;=DAY(EOMONTH(DATE('⚙️ Configuración'!$C$9,12,1),0))),30-(WEEKDAY(DATE('⚙️ Configuración'!$C$9,12,1),2)-1)+1,""),"")</f>
        <v>28</v>
      </c>
      <c r="P8" s="68">
        <f>IFERROR(IF(AND(31-(WEEKDAY(DATE('⚙️ Configuración'!$C$9,12,1),2)-1)+1&gt;=1,31-(WEEKDAY(DATE('⚙️ Configuración'!$C$9,12,1),2)-1)+1&lt;=DAY(EOMONTH(DATE('⚙️ Configuración'!$C$9,12,1),0))),31-(WEEKDAY(DATE('⚙️ Configuración'!$C$9,12,1),2)-1)+1,""),"")</f>
        <v>29</v>
      </c>
      <c r="Q8" s="68">
        <f>IFERROR(IF(AND(32-(WEEKDAY(DATE('⚙️ Configuración'!$C$9,12,1),2)-1)+1&gt;=1,32-(WEEKDAY(DATE('⚙️ Configuración'!$C$9,12,1),2)-1)+1&lt;=DAY(EOMONTH(DATE('⚙️ Configuración'!$C$9,12,1),0))),32-(WEEKDAY(DATE('⚙️ Configuración'!$C$9,12,1),2)-1)+1,""),"")</f>
        <v>30</v>
      </c>
      <c r="R8" s="68">
        <f>IFERROR(IF(AND(33-(WEEKDAY(DATE('⚙️ Configuración'!$C$9,12,1),2)-1)+1&gt;=1,33-(WEEKDAY(DATE('⚙️ Configuración'!$C$9,12,1),2)-1)+1&lt;=DAY(EOMONTH(DATE('⚙️ Configuración'!$C$9,12,1),0))),33-(WEEKDAY(DATE('⚙️ Configuración'!$C$9,12,1),2)-1)+1,""),"")</f>
        <v>31</v>
      </c>
      <c r="S8" s="68" t="str">
        <f>IFERROR(IF(AND(34-(WEEKDAY(DATE('⚙️ Configuración'!$C$9,12,1),2)-1)+1&gt;=1,34-(WEEKDAY(DATE('⚙️ Configuración'!$C$9,12,1),2)-1)+1&lt;=DAY(EOMONTH(DATE('⚙️ Configuración'!$C$9,12,1),0))),34-(WEEKDAY(DATE('⚙️ Configuración'!$C$9,12,1),2)-1)+1,""),"")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Configuración'!$C$9,12,1),2)-1)+1&gt;=1,35-(WEEKDAY(DATE('⚙️ Configuración'!$C$9,12,1),2)-1)+1&lt;=DAY(EOMONTH(DATE('⚙️ Configuración'!$C$9,12,1),0))),35-(WEEKDAY(DATE('⚙️ Configuración'!$C$9,12,1),2)-1)+1,""),"")</f>
        <v/>
      </c>
      <c r="N9" s="68" t="str">
        <f>IFERROR(IF(AND(36-(WEEKDAY(DATE('⚙️ Configuración'!$C$9,12,1),2)-1)+1&gt;=1,36-(WEEKDAY(DATE('⚙️ Configuración'!$C$9,12,1),2)-1)+1&lt;=DAY(EOMONTH(DATE('⚙️ Configuración'!$C$9,12,1),0))),36-(WEEKDAY(DATE('⚙️ Configuración'!$C$9,12,1),2)-1)+1,""),"")</f>
        <v/>
      </c>
      <c r="O9" s="68" t="str">
        <f>IFERROR(IF(AND(37-(WEEKDAY(DATE('⚙️ Configuración'!$C$9,12,1),2)-1)+1&gt;=1,37-(WEEKDAY(DATE('⚙️ Configuración'!$C$9,12,1),2)-1)+1&lt;=DAY(EOMONTH(DATE('⚙️ Configuración'!$C$9,12,1),0))),37-(WEEKDAY(DATE('⚙️ Configuración'!$C$9,12,1),2)-1)+1,""),"")</f>
        <v/>
      </c>
      <c r="P9" s="68" t="str">
        <f>IFERROR(IF(AND(38-(WEEKDAY(DATE('⚙️ Configuración'!$C$9,12,1),2)-1)+1&gt;=1,38-(WEEKDAY(DATE('⚙️ Configuración'!$C$9,12,1),2)-1)+1&lt;=DAY(EOMONTH(DATE('⚙️ Configuración'!$C$9,12,1),0))),38-(WEEKDAY(DATE('⚙️ Configuración'!$C$9,12,1),2)-1)+1,""),"")</f>
        <v/>
      </c>
      <c r="Q9" s="68" t="str">
        <f>IFERROR(IF(AND(39-(WEEKDAY(DATE('⚙️ Configuración'!$C$9,12,1),2)-1)+1&gt;=1,39-(WEEKDAY(DATE('⚙️ Configuración'!$C$9,12,1),2)-1)+1&lt;=DAY(EOMONTH(DATE('⚙️ Configuración'!$C$9,12,1),0))),39-(WEEKDAY(DATE('⚙️ Configuración'!$C$9,12,1),2)-1)+1,""),"")</f>
        <v/>
      </c>
      <c r="R9" s="68" t="str">
        <f>IFERROR(IF(AND(40-(WEEKDAY(DATE('⚙️ Configuración'!$C$9,12,1),2)-1)+1&gt;=1,40-(WEEKDAY(DATE('⚙️ Configuración'!$C$9,12,1),2)-1)+1&lt;=DAY(EOMONTH(DATE('⚙️ Configuración'!$C$9,12,1),0))),40-(WEEKDAY(DATE('⚙️ Configuración'!$C$9,12,1),2)-1)+1,""),"")</f>
        <v/>
      </c>
      <c r="S9" s="68" t="str">
        <f>IFERROR(IF(AND(41-(WEEKDAY(DATE('⚙️ Configuración'!$C$9,12,1),2)-1)+1&gt;=1,41-(WEEKDAY(DATE('⚙️ Configuración'!$C$9,12,1),2)-1)+1&lt;=DAY(EOMONTH(DATE('⚙️ Configuración'!$C$9,12,1),0))),41-(WEEKDAY(DATE('⚙️ Configuración'!$C$9,12,1),2)-1)+1,""),"")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ENERO</t>
        </is>
      </c>
      <c r="C2" s="88"/>
      <c r="D2" s="88"/>
      <c r="E2" s="62">
        <f>'⚙️ Configuración'!C9+1</f>
        <v>2026</v>
      </c>
      <c r="F2" s="16"/>
      <c r="G2" s="16"/>
      <c r="H2" s="63" t="s">
        <v>216</v>
      </c>
      <c r="I2" s="16"/>
      <c r="J2" s="16"/>
      <c r="K2" s="12"/>
      <c r="L2" s="12"/>
      <c r="M2" s="144" t="inlineStr">
        <is>
          <t>ENERO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Configuración'!$C$9+1,1,1),2)-1)+1&gt;=1,0-(WEEKDAY(DATE('⚙️ Configuración'!$C$9+1,1,1),2)-1)+1&lt;=DAY(EOMONTH(DATE('⚙️ Configuración'!$C$9+1,1,1),0))),0-(WEEKDAY(DATE('⚙️ Configuración'!$C$9+1,1,1),2)-1)+1,""),"")</f>
        <v/>
      </c>
      <c r="N4" s="68" t="str">
        <f>IFERROR(IF(AND(1-(WEEKDAY(DATE('⚙️ Configuración'!$C$9+1,1,1),2)-1)+1&gt;=1,1-(WEEKDAY(DATE('⚙️ Configuración'!$C$9+1,1,1),2)-1)+1&lt;=DAY(EOMONTH(DATE('⚙️ Configuración'!$C$9+1,1,1),0))),1-(WEEKDAY(DATE('⚙️ Configuración'!$C$9+1,1,1),2)-1)+1,""),"")</f>
        <v/>
      </c>
      <c r="O4" s="68" t="str">
        <f>IFERROR(IF(AND(2-(WEEKDAY(DATE('⚙️ Configuración'!$C$9+1,1,1),2)-1)+1&gt;=1,2-(WEEKDAY(DATE('⚙️ Configuración'!$C$9+1,1,1),2)-1)+1&lt;=DAY(EOMONTH(DATE('⚙️ Configuración'!$C$9+1,1,1),0))),2-(WEEKDAY(DATE('⚙️ Configuración'!$C$9+1,1,1),2)-1)+1,""),"")</f>
        <v/>
      </c>
      <c r="P4" s="68">
        <f>IFERROR(IF(AND(3-(WEEKDAY(DATE('⚙️ Configuración'!$C$9+1,1,1),2)-1)+1&gt;=1,3-(WEEKDAY(DATE('⚙️ Configuración'!$C$9+1,1,1),2)-1)+1&lt;=DAY(EOMONTH(DATE('⚙️ Configuración'!$C$9+1,1,1),0))),3-(WEEKDAY(DATE('⚙️ Configuración'!$C$9+1,1,1),2)-1)+1,""),"")</f>
        <v>1</v>
      </c>
      <c r="Q4" s="68">
        <f>IFERROR(IF(AND(4-(WEEKDAY(DATE('⚙️ Configuración'!$C$9+1,1,1),2)-1)+1&gt;=1,4-(WEEKDAY(DATE('⚙️ Configuración'!$C$9+1,1,1),2)-1)+1&lt;=DAY(EOMONTH(DATE('⚙️ Configuración'!$C$9+1,1,1),0))),4-(WEEKDAY(DATE('⚙️ Configuración'!$C$9+1,1,1),2)-1)+1,""),"")</f>
        <v>2</v>
      </c>
      <c r="R4" s="68">
        <f>IFERROR(IF(AND(5-(WEEKDAY(DATE('⚙️ Configuración'!$C$9+1,1,1),2)-1)+1&gt;=1,5-(WEEKDAY(DATE('⚙️ Configuración'!$C$9+1,1,1),2)-1)+1&lt;=DAY(EOMONTH(DATE('⚙️ Configuración'!$C$9+1,1,1),0))),5-(WEEKDAY(DATE('⚙️ Configuración'!$C$9+1,1,1),2)-1)+1,""),"")</f>
        <v>3</v>
      </c>
      <c r="S4" s="68">
        <f>IFERROR(IF(AND(6-(WEEKDAY(DATE('⚙️ Configuración'!$C$9+1,1,1),2)-1)+1&gt;=1,6-(WEEKDAY(DATE('⚙️ Configuración'!$C$9+1,1,1),2)-1)+1&lt;=DAY(EOMONTH(DATE('⚙️ Configuración'!$C$9+1,1,1),0))),6-(WEEKDAY(DATE('⚙️ Configuración'!$C$9+1,1,1),2)-1)+1,""),"")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Configuración'!$C$9+1,1,1),2)-1)+1&gt;=1,7-(WEEKDAY(DATE('⚙️ Configuración'!$C$9+1,1,1),2)-1)+1&lt;=DAY(EOMONTH(DATE('⚙️ Configuración'!$C$9+1,1,1),0))),7-(WEEKDAY(DATE('⚙️ Configuración'!$C$9+1,1,1),2)-1)+1,""),"")</f>
        <v>5</v>
      </c>
      <c r="N5" s="68">
        <f>IFERROR(IF(AND(8-(WEEKDAY(DATE('⚙️ Configuración'!$C$9+1,1,1),2)-1)+1&gt;=1,8-(WEEKDAY(DATE('⚙️ Configuración'!$C$9+1,1,1),2)-1)+1&lt;=DAY(EOMONTH(DATE('⚙️ Configuración'!$C$9+1,1,1),0))),8-(WEEKDAY(DATE('⚙️ Configuración'!$C$9+1,1,1),2)-1)+1,""),"")</f>
        <v>6</v>
      </c>
      <c r="O5" s="68">
        <f>IFERROR(IF(AND(9-(WEEKDAY(DATE('⚙️ Configuración'!$C$9+1,1,1),2)-1)+1&gt;=1,9-(WEEKDAY(DATE('⚙️ Configuración'!$C$9+1,1,1),2)-1)+1&lt;=DAY(EOMONTH(DATE('⚙️ Configuración'!$C$9+1,1,1),0))),9-(WEEKDAY(DATE('⚙️ Configuración'!$C$9+1,1,1),2)-1)+1,""),"")</f>
        <v>7</v>
      </c>
      <c r="P5" s="68">
        <f>IFERROR(IF(AND(10-(WEEKDAY(DATE('⚙️ Configuración'!$C$9+1,1,1),2)-1)+1&gt;=1,10-(WEEKDAY(DATE('⚙️ Configuración'!$C$9+1,1,1),2)-1)+1&lt;=DAY(EOMONTH(DATE('⚙️ Configuración'!$C$9+1,1,1),0))),10-(WEEKDAY(DATE('⚙️ Configuración'!$C$9+1,1,1),2)-1)+1,""),"")</f>
        <v>8</v>
      </c>
      <c r="Q5" s="68">
        <f>IFERROR(IF(AND(11-(WEEKDAY(DATE('⚙️ Configuración'!$C$9+1,1,1),2)-1)+1&gt;=1,11-(WEEKDAY(DATE('⚙️ Configuración'!$C$9+1,1,1),2)-1)+1&lt;=DAY(EOMONTH(DATE('⚙️ Configuración'!$C$9+1,1,1),0))),11-(WEEKDAY(DATE('⚙️ Configuración'!$C$9+1,1,1),2)-1)+1,""),"")</f>
        <v>9</v>
      </c>
      <c r="R5" s="68">
        <f>IFERROR(IF(AND(12-(WEEKDAY(DATE('⚙️ Configuración'!$C$9+1,1,1),2)-1)+1&gt;=1,12-(WEEKDAY(DATE('⚙️ Configuración'!$C$9+1,1,1),2)-1)+1&lt;=DAY(EOMONTH(DATE('⚙️ Configuración'!$C$9+1,1,1),0))),12-(WEEKDAY(DATE('⚙️ Configuración'!$C$9+1,1,1),2)-1)+1,""),"")</f>
        <v>10</v>
      </c>
      <c r="S5" s="68">
        <f>IFERROR(IF(AND(13-(WEEKDAY(DATE('⚙️ Configuración'!$C$9+1,1,1),2)-1)+1&gt;=1,13-(WEEKDAY(DATE('⚙️ Configuración'!$C$9+1,1,1),2)-1)+1&lt;=DAY(EOMONTH(DATE('⚙️ Configuración'!$C$9+1,1,1),0))),13-(WEEKDAY(DATE('⚙️ Configuración'!$C$9+1,1,1),2)-1)+1,""),"")</f>
        <v>11</v>
      </c>
      <c r="T5" s="6"/>
      <c r="U5" s="6"/>
      <c r="V5" s="16"/>
      <c r="W5" s="16"/>
      <c r="X5" s="16"/>
      <c r="Y5" s="28" t="s">
        <v>153</v>
      </c>
      <c r="Z5" s="67">
        <f t="shared" ref="Z5:AA5" si="2">E44</f>
        <v>0</v>
      </c>
      <c r="AA5" s="67">
        <f t="shared" si="2"/>
        <v>0</v>
      </c>
      <c r="AB5" s="16"/>
    </row>
    <row r="6" spans="1:28" ht="16.5" customHeight="1">
      <c r="A6" s="16"/>
      <c r="B6" s="153" t="str">
        <f>IF(SUM(F11:F52)=0,"📝  Enero todavía no tiene datos. Empezá por la columna Real","✅  Mes cargado. Todos los cálculos se actualizan solos")</f>
        <v>📝  Enero todavía no tiene datos. Empezá por la columna Real</v>
      </c>
      <c r="C6" s="88"/>
      <c r="D6" s="88"/>
      <c r="E6" s="88"/>
      <c r="F6" s="88"/>
      <c r="G6" s="88"/>
      <c r="H6" s="88"/>
      <c r="I6" s="16"/>
      <c r="J6" s="16"/>
      <c r="K6" s="12"/>
      <c r="L6" s="12"/>
      <c r="M6" s="68">
        <f>IFERROR(IF(AND(14-(WEEKDAY(DATE('⚙️ Configuración'!$C$9+1,1,1),2)-1)+1&gt;=1,14-(WEEKDAY(DATE('⚙️ Configuración'!$C$9+1,1,1),2)-1)+1&lt;=DAY(EOMONTH(DATE('⚙️ Configuración'!$C$9+1,1,1),0))),14-(WEEKDAY(DATE('⚙️ Configuración'!$C$9+1,1,1),2)-1)+1,""),"")</f>
        <v>12</v>
      </c>
      <c r="N6" s="68">
        <f>IFERROR(IF(AND(15-(WEEKDAY(DATE('⚙️ Configuración'!$C$9+1,1,1),2)-1)+1&gt;=1,15-(WEEKDAY(DATE('⚙️ Configuración'!$C$9+1,1,1),2)-1)+1&lt;=DAY(EOMONTH(DATE('⚙️ Configuración'!$C$9+1,1,1),0))),15-(WEEKDAY(DATE('⚙️ Configuración'!$C$9+1,1,1),2)-1)+1,""),"")</f>
        <v>13</v>
      </c>
      <c r="O6" s="68">
        <f>IFERROR(IF(AND(16-(WEEKDAY(DATE('⚙️ Configuración'!$C$9+1,1,1),2)-1)+1&gt;=1,16-(WEEKDAY(DATE('⚙️ Configuración'!$C$9+1,1,1),2)-1)+1&lt;=DAY(EOMONTH(DATE('⚙️ Configuración'!$C$9+1,1,1),0))),16-(WEEKDAY(DATE('⚙️ Configuración'!$C$9+1,1,1),2)-1)+1,""),"")</f>
        <v>14</v>
      </c>
      <c r="P6" s="68">
        <f>IFERROR(IF(AND(17-(WEEKDAY(DATE('⚙️ Configuración'!$C$9+1,1,1),2)-1)+1&gt;=1,17-(WEEKDAY(DATE('⚙️ Configuración'!$C$9+1,1,1),2)-1)+1&lt;=DAY(EOMONTH(DATE('⚙️ Configuración'!$C$9+1,1,1),0))),17-(WEEKDAY(DATE('⚙️ Configuración'!$C$9+1,1,1),2)-1)+1,""),"")</f>
        <v>15</v>
      </c>
      <c r="Q6" s="68">
        <f>IFERROR(IF(AND(18-(WEEKDAY(DATE('⚙️ Configuración'!$C$9+1,1,1),2)-1)+1&gt;=1,18-(WEEKDAY(DATE('⚙️ Configuración'!$C$9+1,1,1),2)-1)+1&lt;=DAY(EOMONTH(DATE('⚙️ Configuración'!$C$9+1,1,1),0))),18-(WEEKDAY(DATE('⚙️ Configuración'!$C$9+1,1,1),2)-1)+1,""),"")</f>
        <v>16</v>
      </c>
      <c r="R6" s="68">
        <f>IFERROR(IF(AND(19-(WEEKDAY(DATE('⚙️ Configuración'!$C$9+1,1,1),2)-1)+1&gt;=1,19-(WEEKDAY(DATE('⚙️ Configuración'!$C$9+1,1,1),2)-1)+1&lt;=DAY(EOMONTH(DATE('⚙️ Configuración'!$C$9+1,1,1),0))),19-(WEEKDAY(DATE('⚙️ Configuración'!$C$9+1,1,1),2)-1)+1,""),"")</f>
        <v>17</v>
      </c>
      <c r="S6" s="68">
        <f>IFERROR(IF(AND(20-(WEEKDAY(DATE('⚙️ Configuración'!$C$9+1,1,1),2)-1)+1&gt;=1,20-(WEEKDAY(DATE('⚙️ Configuración'!$C$9+1,1,1),2)-1)+1&lt;=DAY(EOMONTH(DATE('⚙️ Configuración'!$C$9+1,1,1),0))),20-(WEEKDAY(DATE('⚙️ Configuración'!$C$9+1,1,1),2)-1)+1,""),"")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Configuración'!$C$9+1,1,1),2)-1)+1&gt;=1,21-(WEEKDAY(DATE('⚙️ Configuración'!$C$9+1,1,1),2)-1)+1&lt;=DAY(EOMONTH(DATE('⚙️ Configuración'!$C$9+1,1,1),0))),21-(WEEKDAY(DATE('⚙️ Configuración'!$C$9+1,1,1),2)-1)+1,""),"")</f>
        <v>19</v>
      </c>
      <c r="N7" s="68">
        <f>IFERROR(IF(AND(22-(WEEKDAY(DATE('⚙️ Configuración'!$C$9+1,1,1),2)-1)+1&gt;=1,22-(WEEKDAY(DATE('⚙️ Configuración'!$C$9+1,1,1),2)-1)+1&lt;=DAY(EOMONTH(DATE('⚙️ Configuración'!$C$9+1,1,1),0))),22-(WEEKDAY(DATE('⚙️ Configuración'!$C$9+1,1,1),2)-1)+1,""),"")</f>
        <v>20</v>
      </c>
      <c r="O7" s="68">
        <f>IFERROR(IF(AND(23-(WEEKDAY(DATE('⚙️ Configuración'!$C$9+1,1,1),2)-1)+1&gt;=1,23-(WEEKDAY(DATE('⚙️ Configuración'!$C$9+1,1,1),2)-1)+1&lt;=DAY(EOMONTH(DATE('⚙️ Configuración'!$C$9+1,1,1),0))),23-(WEEKDAY(DATE('⚙️ Configuración'!$C$9+1,1,1),2)-1)+1,""),"")</f>
        <v>21</v>
      </c>
      <c r="P7" s="68">
        <f>IFERROR(IF(AND(24-(WEEKDAY(DATE('⚙️ Configuración'!$C$9+1,1,1),2)-1)+1&gt;=1,24-(WEEKDAY(DATE('⚙️ Configuración'!$C$9+1,1,1),2)-1)+1&lt;=DAY(EOMONTH(DATE('⚙️ Configuración'!$C$9+1,1,1),0))),24-(WEEKDAY(DATE('⚙️ Configuración'!$C$9+1,1,1),2)-1)+1,""),"")</f>
        <v>22</v>
      </c>
      <c r="Q7" s="68">
        <f>IFERROR(IF(AND(25-(WEEKDAY(DATE('⚙️ Configuración'!$C$9+1,1,1),2)-1)+1&gt;=1,25-(WEEKDAY(DATE('⚙️ Configuración'!$C$9+1,1,1),2)-1)+1&lt;=DAY(EOMONTH(DATE('⚙️ Configuración'!$C$9+1,1,1),0))),25-(WEEKDAY(DATE('⚙️ Configuración'!$C$9+1,1,1),2)-1)+1,""),"")</f>
        <v>23</v>
      </c>
      <c r="R7" s="68">
        <f>IFERROR(IF(AND(26-(WEEKDAY(DATE('⚙️ Configuración'!$C$9+1,1,1),2)-1)+1&gt;=1,26-(WEEKDAY(DATE('⚙️ Configuración'!$C$9+1,1,1),2)-1)+1&lt;=DAY(EOMONTH(DATE('⚙️ Configuración'!$C$9+1,1,1),0))),26-(WEEKDAY(DATE('⚙️ Configuración'!$C$9+1,1,1),2)-1)+1,""),"")</f>
        <v>24</v>
      </c>
      <c r="S7" s="68">
        <f>IFERROR(IF(AND(27-(WEEKDAY(DATE('⚙️ Configuración'!$C$9+1,1,1),2)-1)+1&gt;=1,27-(WEEKDAY(DATE('⚙️ Configuración'!$C$9+1,1,1),2)-1)+1&lt;=DAY(EOMONTH(DATE('⚙️ Configuración'!$C$9+1,1,1),0))),27-(WEEKDAY(DATE('⚙️ Configuración'!$C$9+1,1,1),2)-1)+1,""),"")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Configuración'!$C$9+1,1,1),2)-1)+1&gt;=1,28-(WEEKDAY(DATE('⚙️ Configuración'!$C$9+1,1,1),2)-1)+1&lt;=DAY(EOMONTH(DATE('⚙️ Configuración'!$C$9+1,1,1),0))),28-(WEEKDAY(DATE('⚙️ Configuración'!$C$9+1,1,1),2)-1)+1,""),"")</f>
        <v>26</v>
      </c>
      <c r="N8" s="68">
        <f>IFERROR(IF(AND(29-(WEEKDAY(DATE('⚙️ Configuración'!$C$9+1,1,1),2)-1)+1&gt;=1,29-(WEEKDAY(DATE('⚙️ Configuración'!$C$9+1,1,1),2)-1)+1&lt;=DAY(EOMONTH(DATE('⚙️ Configuración'!$C$9+1,1,1),0))),29-(WEEKDAY(DATE('⚙️ Configuración'!$C$9+1,1,1),2)-1)+1,""),"")</f>
        <v>27</v>
      </c>
      <c r="O8" s="68">
        <f>IFERROR(IF(AND(30-(WEEKDAY(DATE('⚙️ Configuración'!$C$9+1,1,1),2)-1)+1&gt;=1,30-(WEEKDAY(DATE('⚙️ Configuración'!$C$9+1,1,1),2)-1)+1&lt;=DAY(EOMONTH(DATE('⚙️ Configuración'!$C$9+1,1,1),0))),30-(WEEKDAY(DATE('⚙️ Configuración'!$C$9+1,1,1),2)-1)+1,""),"")</f>
        <v>28</v>
      </c>
      <c r="P8" s="68">
        <f>IFERROR(IF(AND(31-(WEEKDAY(DATE('⚙️ Configuración'!$C$9+1,1,1),2)-1)+1&gt;=1,31-(WEEKDAY(DATE('⚙️ Configuración'!$C$9+1,1,1),2)-1)+1&lt;=DAY(EOMONTH(DATE('⚙️ Configuración'!$C$9+1,1,1),0))),31-(WEEKDAY(DATE('⚙️ Configuración'!$C$9+1,1,1),2)-1)+1,""),"")</f>
        <v>29</v>
      </c>
      <c r="Q8" s="68">
        <f>IFERROR(IF(AND(32-(WEEKDAY(DATE('⚙️ Configuración'!$C$9+1,1,1),2)-1)+1&gt;=1,32-(WEEKDAY(DATE('⚙️ Configuración'!$C$9+1,1,1),2)-1)+1&lt;=DAY(EOMONTH(DATE('⚙️ Configuración'!$C$9+1,1,1),0))),32-(WEEKDAY(DATE('⚙️ Configuración'!$C$9+1,1,1),2)-1)+1,""),"")</f>
        <v>30</v>
      </c>
      <c r="R8" s="68">
        <f>IFERROR(IF(AND(33-(WEEKDAY(DATE('⚙️ Configuración'!$C$9+1,1,1),2)-1)+1&gt;=1,33-(WEEKDAY(DATE('⚙️ Configuración'!$C$9+1,1,1),2)-1)+1&lt;=DAY(EOMONTH(DATE('⚙️ Configuración'!$C$9+1,1,1),0))),33-(WEEKDAY(DATE('⚙️ Configuración'!$C$9+1,1,1),2)-1)+1,""),"")</f>
        <v>31</v>
      </c>
      <c r="S8" s="68" t="str">
        <f>IFERROR(IF(AND(34-(WEEKDAY(DATE('⚙️ Configuración'!$C$9+1,1,1),2)-1)+1&gt;=1,34-(WEEKDAY(DATE('⚙️ Configuración'!$C$9+1,1,1),2)-1)+1&lt;=DAY(EOMONTH(DATE('⚙️ Configuración'!$C$9+1,1,1),0))),34-(WEEKDAY(DATE('⚙️ Configuración'!$C$9+1,1,1),2)-1)+1,""),"")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Configuración'!$C$9+1,1,1),2)-1)+1&gt;=1,35-(WEEKDAY(DATE('⚙️ Configuración'!$C$9+1,1,1),2)-1)+1&lt;=DAY(EOMONTH(DATE('⚙️ Configuración'!$C$9+1,1,1),0))),35-(WEEKDAY(DATE('⚙️ Configuración'!$C$9+1,1,1),2)-1)+1,""),"")</f>
        <v/>
      </c>
      <c r="N9" s="68" t="str">
        <f>IFERROR(IF(AND(36-(WEEKDAY(DATE('⚙️ Configuración'!$C$9+1,1,1),2)-1)+1&gt;=1,36-(WEEKDAY(DATE('⚙️ Configuración'!$C$9+1,1,1),2)-1)+1&lt;=DAY(EOMONTH(DATE('⚙️ Configuración'!$C$9+1,1,1),0))),36-(WEEKDAY(DATE('⚙️ Configuración'!$C$9+1,1,1),2)-1)+1,""),"")</f>
        <v/>
      </c>
      <c r="O9" s="68" t="str">
        <f>IFERROR(IF(AND(37-(WEEKDAY(DATE('⚙️ Configuración'!$C$9+1,1,1),2)-1)+1&gt;=1,37-(WEEKDAY(DATE('⚙️ Configuración'!$C$9+1,1,1),2)-1)+1&lt;=DAY(EOMONTH(DATE('⚙️ Configuración'!$C$9+1,1,1),0))),37-(WEEKDAY(DATE('⚙️ Configuración'!$C$9+1,1,1),2)-1)+1,""),"")</f>
        <v/>
      </c>
      <c r="P9" s="68" t="str">
        <f>IFERROR(IF(AND(38-(WEEKDAY(DATE('⚙️ Configuración'!$C$9+1,1,1),2)-1)+1&gt;=1,38-(WEEKDAY(DATE('⚙️ Configuración'!$C$9+1,1,1),2)-1)+1&lt;=DAY(EOMONTH(DATE('⚙️ Configuración'!$C$9+1,1,1),0))),38-(WEEKDAY(DATE('⚙️ Configuración'!$C$9+1,1,1),2)-1)+1,""),"")</f>
        <v/>
      </c>
      <c r="Q9" s="68" t="str">
        <f>IFERROR(IF(AND(39-(WEEKDAY(DATE('⚙️ Configuración'!$C$9+1,1,1),2)-1)+1&gt;=1,39-(WEEKDAY(DATE('⚙️ Configuración'!$C$9+1,1,1),2)-1)+1&lt;=DAY(EOMONTH(DATE('⚙️ Configuración'!$C$9+1,1,1),0))),39-(WEEKDAY(DATE('⚙️ Configuración'!$C$9+1,1,1),2)-1)+1,""),"")</f>
        <v/>
      </c>
      <c r="R9" s="68" t="str">
        <f>IFERROR(IF(AND(40-(WEEKDAY(DATE('⚙️ Configuración'!$C$9+1,1,1),2)-1)+1&gt;=1,40-(WEEKDAY(DATE('⚙️ Configuración'!$C$9+1,1,1),2)-1)+1&lt;=DAY(EOMONTH(DATE('⚙️ Configuración'!$C$9+1,1,1),0))),40-(WEEKDAY(DATE('⚙️ Configuración'!$C$9+1,1,1),2)-1)+1,""),"")</f>
        <v/>
      </c>
      <c r="S9" s="68" t="str">
        <f>IFERROR(IF(AND(41-(WEEKDAY(DATE('⚙️ Configuración'!$C$9+1,1,1),2)-1)+1&gt;=1,41-(WEEKDAY(DATE('⚙️ Configuración'!$C$9+1,1,1),2)-1)+1&lt;=DAY(EOMONTH(DATE('⚙️ Configuración'!$C$9+1,1,1),0))),41-(WEEKDAY(DATE('⚙️ Configuración'!$C$9+1,1,1),2)-1)+1,""),"")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FEBRERO</t>
        </is>
      </c>
      <c r="C2" s="88"/>
      <c r="D2" s="88"/>
      <c r="E2" s="62">
        <f>'⚙️ Configuración'!C9+1</f>
        <v>2026</v>
      </c>
      <c r="F2" s="16"/>
      <c r="G2" s="16"/>
      <c r="H2" s="63" t="s">
        <v>216</v>
      </c>
      <c r="I2" s="16"/>
      <c r="J2" s="16"/>
      <c r="K2" s="12"/>
      <c r="L2" s="12"/>
      <c r="M2" s="144" t="inlineStr">
        <is>
          <t>FEBRERO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Configuración'!$C$9+1,2,1),2)-1)+1&gt;=1,0-(WEEKDAY(DATE('⚙️ Configuración'!$C$9+1,2,1),2)-1)+1&lt;=DAY(EOMONTH(DATE('⚙️ Configuración'!$C$9+1,2,1),0))),0-(WEEKDAY(DATE('⚙️ Configuración'!$C$9+1,2,1),2)-1)+1,""),"")</f>
        <v/>
      </c>
      <c r="N4" s="68" t="str">
        <f>IFERROR(IF(AND(1-(WEEKDAY(DATE('⚙️ Configuración'!$C$9+1,2,1),2)-1)+1&gt;=1,1-(WEEKDAY(DATE('⚙️ Configuración'!$C$9+1,2,1),2)-1)+1&lt;=DAY(EOMONTH(DATE('⚙️ Configuración'!$C$9+1,2,1),0))),1-(WEEKDAY(DATE('⚙️ Configuración'!$C$9+1,2,1),2)-1)+1,""),"")</f>
        <v/>
      </c>
      <c r="O4" s="68" t="str">
        <f>IFERROR(IF(AND(2-(WEEKDAY(DATE('⚙️ Configuración'!$C$9+1,2,1),2)-1)+1&gt;=1,2-(WEEKDAY(DATE('⚙️ Configuración'!$C$9+1,2,1),2)-1)+1&lt;=DAY(EOMONTH(DATE('⚙️ Configuración'!$C$9+1,2,1),0))),2-(WEEKDAY(DATE('⚙️ Configuración'!$C$9+1,2,1),2)-1)+1,""),"")</f>
        <v/>
      </c>
      <c r="P4" s="68">
        <f>IFERROR(IF(AND(3-(WEEKDAY(DATE('⚙️ Configuración'!$C$9+1,2,1),2)-1)+1&gt;=1,3-(WEEKDAY(DATE('⚙️ Configuración'!$C$9+1,2,1),2)-1)+1&lt;=DAY(EOMONTH(DATE('⚙️ Configuración'!$C$9+1,2,1),0))),3-(WEEKDAY(DATE('⚙️ Configuración'!$C$9+1,2,1),2)-1)+1,""),"")</f>
        <v>1</v>
      </c>
      <c r="Q4" s="68">
        <f>IFERROR(IF(AND(4-(WEEKDAY(DATE('⚙️ Configuración'!$C$9+1,2,1),2)-1)+1&gt;=1,4-(WEEKDAY(DATE('⚙️ Configuración'!$C$9+1,2,1),2)-1)+1&lt;=DAY(EOMONTH(DATE('⚙️ Configuración'!$C$9+1,2,1),0))),4-(WEEKDAY(DATE('⚙️ Configuración'!$C$9+1,2,1),2)-1)+1,""),"")</f>
        <v>2</v>
      </c>
      <c r="R4" s="68">
        <f>IFERROR(IF(AND(5-(WEEKDAY(DATE('⚙️ Configuración'!$C$9+1,2,1),2)-1)+1&gt;=1,5-(WEEKDAY(DATE('⚙️ Configuración'!$C$9+1,2,1),2)-1)+1&lt;=DAY(EOMONTH(DATE('⚙️ Configuración'!$C$9+1,2,1),0))),5-(WEEKDAY(DATE('⚙️ Configuración'!$C$9+1,2,1),2)-1)+1,""),"")</f>
        <v>3</v>
      </c>
      <c r="S4" s="68">
        <f>IFERROR(IF(AND(6-(WEEKDAY(DATE('⚙️ Configuración'!$C$9+1,2,1),2)-1)+1&gt;=1,6-(WEEKDAY(DATE('⚙️ Configuración'!$C$9+1,2,1),2)-1)+1&lt;=DAY(EOMONTH(DATE('⚙️ Configuración'!$C$9+1,2,1),0))),6-(WEEKDAY(DATE('⚙️ Configuración'!$C$9+1,2,1),2)-1)+1,""),"")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Configuración'!$C$9+1,2,1),2)-1)+1&gt;=1,7-(WEEKDAY(DATE('⚙️ Configuración'!$C$9+1,2,1),2)-1)+1&lt;=DAY(EOMONTH(DATE('⚙️ Configuración'!$C$9+1,2,1),0))),7-(WEEKDAY(DATE('⚙️ Configuración'!$C$9+1,2,1),2)-1)+1,""),"")</f>
        <v>5</v>
      </c>
      <c r="N5" s="68">
        <f>IFERROR(IF(AND(8-(WEEKDAY(DATE('⚙️ Configuración'!$C$9+1,2,1),2)-1)+1&gt;=1,8-(WEEKDAY(DATE('⚙️ Configuración'!$C$9+1,2,1),2)-1)+1&lt;=DAY(EOMONTH(DATE('⚙️ Configuración'!$C$9+1,2,1),0))),8-(WEEKDAY(DATE('⚙️ Configuración'!$C$9+1,2,1),2)-1)+1,""),"")</f>
        <v>6</v>
      </c>
      <c r="O5" s="68">
        <f>IFERROR(IF(AND(9-(WEEKDAY(DATE('⚙️ Configuración'!$C$9+1,2,1),2)-1)+1&gt;=1,9-(WEEKDAY(DATE('⚙️ Configuración'!$C$9+1,2,1),2)-1)+1&lt;=DAY(EOMONTH(DATE('⚙️ Configuración'!$C$9+1,2,1),0))),9-(WEEKDAY(DATE('⚙️ Configuración'!$C$9+1,2,1),2)-1)+1,""),"")</f>
        <v>7</v>
      </c>
      <c r="P5" s="68">
        <f>IFERROR(IF(AND(10-(WEEKDAY(DATE('⚙️ Configuración'!$C$9+1,2,1),2)-1)+1&gt;=1,10-(WEEKDAY(DATE('⚙️ Configuración'!$C$9+1,2,1),2)-1)+1&lt;=DAY(EOMONTH(DATE('⚙️ Configuración'!$C$9+1,2,1),0))),10-(WEEKDAY(DATE('⚙️ Configuración'!$C$9+1,2,1),2)-1)+1,""),"")</f>
        <v>8</v>
      </c>
      <c r="Q5" s="68">
        <f>IFERROR(IF(AND(11-(WEEKDAY(DATE('⚙️ Configuración'!$C$9+1,2,1),2)-1)+1&gt;=1,11-(WEEKDAY(DATE('⚙️ Configuración'!$C$9+1,2,1),2)-1)+1&lt;=DAY(EOMONTH(DATE('⚙️ Configuración'!$C$9+1,2,1),0))),11-(WEEKDAY(DATE('⚙️ Configuración'!$C$9+1,2,1),2)-1)+1,""),"")</f>
        <v>9</v>
      </c>
      <c r="R5" s="68">
        <f>IFERROR(IF(AND(12-(WEEKDAY(DATE('⚙️ Configuración'!$C$9+1,2,1),2)-1)+1&gt;=1,12-(WEEKDAY(DATE('⚙️ Configuración'!$C$9+1,2,1),2)-1)+1&lt;=DAY(EOMONTH(DATE('⚙️ Configuración'!$C$9+1,2,1),0))),12-(WEEKDAY(DATE('⚙️ Configuración'!$C$9+1,2,1),2)-1)+1,""),"")</f>
        <v>10</v>
      </c>
      <c r="S5" s="68">
        <f>IFERROR(IF(AND(13-(WEEKDAY(DATE('⚙️ Configuración'!$C$9+1,2,1),2)-1)+1&gt;=1,13-(WEEKDAY(DATE('⚙️ Configuración'!$C$9+1,2,1),2)-1)+1&lt;=DAY(EOMONTH(DATE('⚙️ Configuración'!$C$9+1,2,1),0))),13-(WEEKDAY(DATE('⚙️ Configuración'!$C$9+1,2,1),2)-1)+1,""),"")</f>
        <v>11</v>
      </c>
      <c r="T5" s="6"/>
      <c r="U5" s="6"/>
      <c r="V5" s="16"/>
      <c r="W5" s="16"/>
      <c r="X5" s="16"/>
      <c r="Y5" s="28" t="s">
        <v>153</v>
      </c>
      <c r="Z5" s="67">
        <f t="shared" ref="Z5:AA5" si="2">E44</f>
        <v>0</v>
      </c>
      <c r="AA5" s="67">
        <f t="shared" si="2"/>
        <v>0</v>
      </c>
      <c r="AB5" s="16"/>
    </row>
    <row r="6" spans="1:28" ht="16.5" customHeight="1">
      <c r="A6" s="16"/>
      <c r="B6" s="153" t="str">
        <f>IF(SUM(F11:F52)=0,"📝  Febrero todavía no tiene datos. Empezá por la columna Real","✅  Mes cargado. Todos los cálculos se actualizan solos")</f>
        <v>📝  Febrero todavía no tiene datos. Empezá por la columna Real</v>
      </c>
      <c r="C6" s="88"/>
      <c r="D6" s="88"/>
      <c r="E6" s="88"/>
      <c r="F6" s="88"/>
      <c r="G6" s="88"/>
      <c r="H6" s="88"/>
      <c r="I6" s="16"/>
      <c r="J6" s="16"/>
      <c r="K6" s="12"/>
      <c r="L6" s="12"/>
      <c r="M6" s="68">
        <f>IFERROR(IF(AND(14-(WEEKDAY(DATE('⚙️ Configuración'!$C$9+1,2,1),2)-1)+1&gt;=1,14-(WEEKDAY(DATE('⚙️ Configuración'!$C$9+1,2,1),2)-1)+1&lt;=DAY(EOMONTH(DATE('⚙️ Configuración'!$C$9+1,2,1),0))),14-(WEEKDAY(DATE('⚙️ Configuración'!$C$9+1,2,1),2)-1)+1,""),"")</f>
        <v>12</v>
      </c>
      <c r="N6" s="68">
        <f>IFERROR(IF(AND(15-(WEEKDAY(DATE('⚙️ Configuración'!$C$9+1,2,1),2)-1)+1&gt;=1,15-(WEEKDAY(DATE('⚙️ Configuración'!$C$9+1,2,1),2)-1)+1&lt;=DAY(EOMONTH(DATE('⚙️ Configuración'!$C$9+1,2,1),0))),15-(WEEKDAY(DATE('⚙️ Configuración'!$C$9+1,2,1),2)-1)+1,""),"")</f>
        <v>13</v>
      </c>
      <c r="O6" s="68">
        <f>IFERROR(IF(AND(16-(WEEKDAY(DATE('⚙️ Configuración'!$C$9+1,2,1),2)-1)+1&gt;=1,16-(WEEKDAY(DATE('⚙️ Configuración'!$C$9+1,2,1),2)-1)+1&lt;=DAY(EOMONTH(DATE('⚙️ Configuración'!$C$9+1,2,1),0))),16-(WEEKDAY(DATE('⚙️ Configuración'!$C$9+1,2,1),2)-1)+1,""),"")</f>
        <v>14</v>
      </c>
      <c r="P6" s="68">
        <f>IFERROR(IF(AND(17-(WEEKDAY(DATE('⚙️ Configuración'!$C$9+1,2,1),2)-1)+1&gt;=1,17-(WEEKDAY(DATE('⚙️ Configuración'!$C$9+1,2,1),2)-1)+1&lt;=DAY(EOMONTH(DATE('⚙️ Configuración'!$C$9+1,2,1),0))),17-(WEEKDAY(DATE('⚙️ Configuración'!$C$9+1,2,1),2)-1)+1,""),"")</f>
        <v>15</v>
      </c>
      <c r="Q6" s="68">
        <f>IFERROR(IF(AND(18-(WEEKDAY(DATE('⚙️ Configuración'!$C$9+1,2,1),2)-1)+1&gt;=1,18-(WEEKDAY(DATE('⚙️ Configuración'!$C$9+1,2,1),2)-1)+1&lt;=DAY(EOMONTH(DATE('⚙️ Configuración'!$C$9+1,2,1),0))),18-(WEEKDAY(DATE('⚙️ Configuración'!$C$9+1,2,1),2)-1)+1,""),"")</f>
        <v>16</v>
      </c>
      <c r="R6" s="68">
        <f>IFERROR(IF(AND(19-(WEEKDAY(DATE('⚙️ Configuración'!$C$9+1,2,1),2)-1)+1&gt;=1,19-(WEEKDAY(DATE('⚙️ Configuración'!$C$9+1,2,1),2)-1)+1&lt;=DAY(EOMONTH(DATE('⚙️ Configuración'!$C$9+1,2,1),0))),19-(WEEKDAY(DATE('⚙️ Configuración'!$C$9+1,2,1),2)-1)+1,""),"")</f>
        <v>17</v>
      </c>
      <c r="S6" s="68">
        <f>IFERROR(IF(AND(20-(WEEKDAY(DATE('⚙️ Configuración'!$C$9+1,2,1),2)-1)+1&gt;=1,20-(WEEKDAY(DATE('⚙️ Configuración'!$C$9+1,2,1),2)-1)+1&lt;=DAY(EOMONTH(DATE('⚙️ Configuración'!$C$9+1,2,1),0))),20-(WEEKDAY(DATE('⚙️ Configuración'!$C$9+1,2,1),2)-1)+1,""),"")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Configuración'!$C$9+1,2,1),2)-1)+1&gt;=1,21-(WEEKDAY(DATE('⚙️ Configuración'!$C$9+1,2,1),2)-1)+1&lt;=DAY(EOMONTH(DATE('⚙️ Configuración'!$C$9+1,2,1),0))),21-(WEEKDAY(DATE('⚙️ Configuración'!$C$9+1,2,1),2)-1)+1,""),"")</f>
        <v>19</v>
      </c>
      <c r="N7" s="68">
        <f>IFERROR(IF(AND(22-(WEEKDAY(DATE('⚙️ Configuración'!$C$9+1,2,1),2)-1)+1&gt;=1,22-(WEEKDAY(DATE('⚙️ Configuración'!$C$9+1,2,1),2)-1)+1&lt;=DAY(EOMONTH(DATE('⚙️ Configuración'!$C$9+1,2,1),0))),22-(WEEKDAY(DATE('⚙️ Configuración'!$C$9+1,2,1),2)-1)+1,""),"")</f>
        <v>20</v>
      </c>
      <c r="O7" s="68">
        <f>IFERROR(IF(AND(23-(WEEKDAY(DATE('⚙️ Configuración'!$C$9+1,2,1),2)-1)+1&gt;=1,23-(WEEKDAY(DATE('⚙️ Configuración'!$C$9+1,2,1),2)-1)+1&lt;=DAY(EOMONTH(DATE('⚙️ Configuración'!$C$9+1,2,1),0))),23-(WEEKDAY(DATE('⚙️ Configuración'!$C$9+1,2,1),2)-1)+1,""),"")</f>
        <v>21</v>
      </c>
      <c r="P7" s="68">
        <f>IFERROR(IF(AND(24-(WEEKDAY(DATE('⚙️ Configuración'!$C$9+1,2,1),2)-1)+1&gt;=1,24-(WEEKDAY(DATE('⚙️ Configuración'!$C$9+1,2,1),2)-1)+1&lt;=DAY(EOMONTH(DATE('⚙️ Configuración'!$C$9+1,2,1),0))),24-(WEEKDAY(DATE('⚙️ Configuración'!$C$9+1,2,1),2)-1)+1,""),"")</f>
        <v>22</v>
      </c>
      <c r="Q7" s="68">
        <f>IFERROR(IF(AND(25-(WEEKDAY(DATE('⚙️ Configuración'!$C$9+1,2,1),2)-1)+1&gt;=1,25-(WEEKDAY(DATE('⚙️ Configuración'!$C$9+1,2,1),2)-1)+1&lt;=DAY(EOMONTH(DATE('⚙️ Configuración'!$C$9+1,2,1),0))),25-(WEEKDAY(DATE('⚙️ Configuración'!$C$9+1,2,1),2)-1)+1,""),"")</f>
        <v>23</v>
      </c>
      <c r="R7" s="68">
        <f>IFERROR(IF(AND(26-(WEEKDAY(DATE('⚙️ Configuración'!$C$9+1,2,1),2)-1)+1&gt;=1,26-(WEEKDAY(DATE('⚙️ Configuración'!$C$9+1,2,1),2)-1)+1&lt;=DAY(EOMONTH(DATE('⚙️ Configuración'!$C$9+1,2,1),0))),26-(WEEKDAY(DATE('⚙️ Configuración'!$C$9+1,2,1),2)-1)+1,""),"")</f>
        <v>24</v>
      </c>
      <c r="S7" s="68">
        <f>IFERROR(IF(AND(27-(WEEKDAY(DATE('⚙️ Configuración'!$C$9+1,2,1),2)-1)+1&gt;=1,27-(WEEKDAY(DATE('⚙️ Configuración'!$C$9+1,2,1),2)-1)+1&lt;=DAY(EOMONTH(DATE('⚙️ Configuración'!$C$9+1,2,1),0))),27-(WEEKDAY(DATE('⚙️ Configuración'!$C$9+1,2,1),2)-1)+1,""),"")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Configuración'!$C$9+1,2,1),2)-1)+1&gt;=1,28-(WEEKDAY(DATE('⚙️ Configuración'!$C$9+1,2,1),2)-1)+1&lt;=DAY(EOMONTH(DATE('⚙️ Configuración'!$C$9+1,2,1),0))),28-(WEEKDAY(DATE('⚙️ Configuración'!$C$9+1,2,1),2)-1)+1,""),"")</f>
        <v>26</v>
      </c>
      <c r="N8" s="68">
        <f>IFERROR(IF(AND(29-(WEEKDAY(DATE('⚙️ Configuración'!$C$9+1,2,1),2)-1)+1&gt;=1,29-(WEEKDAY(DATE('⚙️ Configuración'!$C$9+1,2,1),2)-1)+1&lt;=DAY(EOMONTH(DATE('⚙️ Configuración'!$C$9+1,2,1),0))),29-(WEEKDAY(DATE('⚙️ Configuración'!$C$9+1,2,1),2)-1)+1,""),"")</f>
        <v>27</v>
      </c>
      <c r="O8" s="68">
        <f>IFERROR(IF(AND(30-(WEEKDAY(DATE('⚙️ Configuración'!$C$9+1,2,1),2)-1)+1&gt;=1,30-(WEEKDAY(DATE('⚙️ Configuración'!$C$9+1,2,1),2)-1)+1&lt;=DAY(EOMONTH(DATE('⚙️ Configuración'!$C$9+1,2,1),0))),30-(WEEKDAY(DATE('⚙️ Configuración'!$C$9+1,2,1),2)-1)+1,""),"")</f>
        <v>28</v>
      </c>
      <c r="P8" s="68">
        <f>IFERROR(IF(AND(31-(WEEKDAY(DATE('⚙️ Configuración'!$C$9+1,2,1),2)-1)+1&gt;=1,31-(WEEKDAY(DATE('⚙️ Configuración'!$C$9+1,2,1),2)-1)+1&lt;=DAY(EOMONTH(DATE('⚙️ Configuración'!$C$9+1,2,1),0))),31-(WEEKDAY(DATE('⚙️ Configuración'!$C$9+1,2,1),2)-1)+1,""),"")</f>
        <v>29</v>
      </c>
      <c r="Q8" s="68">
        <f>IFERROR(IF(AND(32-(WEEKDAY(DATE('⚙️ Configuración'!$C$9+1,2,1),2)-1)+1&gt;=1,32-(WEEKDAY(DATE('⚙️ Configuración'!$C$9+1,2,1),2)-1)+1&lt;=DAY(EOMONTH(DATE('⚙️ Configuración'!$C$9+1,2,1),0))),32-(WEEKDAY(DATE('⚙️ Configuración'!$C$9+1,2,1),2)-1)+1,""),"")</f>
        <v>30</v>
      </c>
      <c r="R8" s="68">
        <f>IFERROR(IF(AND(33-(WEEKDAY(DATE('⚙️ Configuración'!$C$9+1,2,1),2)-1)+1&gt;=1,33-(WEEKDAY(DATE('⚙️ Configuración'!$C$9+1,2,1),2)-1)+1&lt;=DAY(EOMONTH(DATE('⚙️ Configuración'!$C$9+1,2,1),0))),33-(WEEKDAY(DATE('⚙️ Configuración'!$C$9+1,2,1),2)-1)+1,""),"")</f>
        <v>31</v>
      </c>
      <c r="S8" s="68" t="str">
        <f>IFERROR(IF(AND(34-(WEEKDAY(DATE('⚙️ Configuración'!$C$9+1,2,1),2)-1)+1&gt;=1,34-(WEEKDAY(DATE('⚙️ Configuración'!$C$9+1,2,1),2)-1)+1&lt;=DAY(EOMONTH(DATE('⚙️ Configuración'!$C$9+1,2,1),0))),34-(WEEKDAY(DATE('⚙️ Configuración'!$C$9+1,2,1),2)-1)+1,""),"")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Configuración'!$C$9+1,2,1),2)-1)+1&gt;=1,35-(WEEKDAY(DATE('⚙️ Configuración'!$C$9+1,2,1),2)-1)+1&lt;=DAY(EOMONTH(DATE('⚙️ Configuración'!$C$9+1,2,1),0))),35-(WEEKDAY(DATE('⚙️ Configuración'!$C$9+1,2,1),2)-1)+1,""),"")</f>
        <v/>
      </c>
      <c r="N9" s="68" t="str">
        <f>IFERROR(IF(AND(36-(WEEKDAY(DATE('⚙️ Configuración'!$C$9+1,2,1),2)-1)+1&gt;=1,36-(WEEKDAY(DATE('⚙️ Configuración'!$C$9+1,2,1),2)-1)+1&lt;=DAY(EOMONTH(DATE('⚙️ Configuración'!$C$9+1,2,1),0))),36-(WEEKDAY(DATE('⚙️ Configuración'!$C$9+1,2,1),2)-1)+1,""),"")</f>
        <v/>
      </c>
      <c r="O9" s="68" t="str">
        <f>IFERROR(IF(AND(37-(WEEKDAY(DATE('⚙️ Configuración'!$C$9+1,2,1),2)-1)+1&gt;=1,37-(WEEKDAY(DATE('⚙️ Configuración'!$C$9+1,2,1),2)-1)+1&lt;=DAY(EOMONTH(DATE('⚙️ Configuración'!$C$9+1,2,1),0))),37-(WEEKDAY(DATE('⚙️ Configuración'!$C$9+1,2,1),2)-1)+1,""),"")</f>
        <v/>
      </c>
      <c r="P9" s="68" t="str">
        <f>IFERROR(IF(AND(38-(WEEKDAY(DATE('⚙️ Configuración'!$C$9+1,2,1),2)-1)+1&gt;=1,38-(WEEKDAY(DATE('⚙️ Configuración'!$C$9+1,2,1),2)-1)+1&lt;=DAY(EOMONTH(DATE('⚙️ Configuración'!$C$9+1,2,1),0))),38-(WEEKDAY(DATE('⚙️ Configuración'!$C$9+1,2,1),2)-1)+1,""),"")</f>
        <v/>
      </c>
      <c r="Q9" s="68" t="str">
        <f>IFERROR(IF(AND(39-(WEEKDAY(DATE('⚙️ Configuración'!$C$9+1,2,1),2)-1)+1&gt;=1,39-(WEEKDAY(DATE('⚙️ Configuración'!$C$9+1,2,1),2)-1)+1&lt;=DAY(EOMONTH(DATE('⚙️ Configuración'!$C$9+1,2,1),0))),39-(WEEKDAY(DATE('⚙️ Configuración'!$C$9+1,2,1),2)-1)+1,""),"")</f>
        <v/>
      </c>
      <c r="R9" s="68" t="str">
        <f>IFERROR(IF(AND(40-(WEEKDAY(DATE('⚙️ Configuración'!$C$9+1,2,1),2)-1)+1&gt;=1,40-(WEEKDAY(DATE('⚙️ Configuración'!$C$9+1,2,1),2)-1)+1&lt;=DAY(EOMONTH(DATE('⚙️ Configuración'!$C$9+1,2,1),0))),40-(WEEKDAY(DATE('⚙️ Configuración'!$C$9+1,2,1),2)-1)+1,""),"")</f>
        <v/>
      </c>
      <c r="S9" s="68" t="str">
        <f>IFERROR(IF(AND(41-(WEEKDAY(DATE('⚙️ Configuración'!$C$9+1,2,1),2)-1)+1&gt;=1,41-(WEEKDAY(DATE('⚙️ Configuración'!$C$9+1,2,1),2)-1)+1&lt;=DAY(EOMONTH(DATE('⚙️ Configuración'!$C$9+1,2,1),0))),41-(WEEKDAY(DATE('⚙️ Configuración'!$C$9+1,2,1),2)-1)+1,""),"")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MARZO</t>
        </is>
      </c>
      <c r="C2" s="88"/>
      <c r="D2" s="88"/>
      <c r="E2" s="62">
        <f>'⚙️ Configuración'!C9+1</f>
        <v>2026</v>
      </c>
      <c r="F2" s="16"/>
      <c r="G2" s="16"/>
      <c r="H2" s="63" t="s">
        <v>216</v>
      </c>
      <c r="I2" s="16"/>
      <c r="J2" s="16"/>
      <c r="K2" s="12"/>
      <c r="L2" s="12"/>
      <c r="M2" s="144" t="inlineStr">
        <is>
          <t>MARZO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Configuración'!$C$9+1,3,1),2)-1)+1&gt;=1,0-(WEEKDAY(DATE('⚙️ Configuración'!$C$9+1,3,1),2)-1)+1&lt;=DAY(EOMONTH(DATE('⚙️ Configuración'!$C$9+1,3,1),0))),0-(WEEKDAY(DATE('⚙️ Configuración'!$C$9+1,3,1),2)-1)+1,""),"")</f>
        <v/>
      </c>
      <c r="N4" s="68" t="str">
        <f>IFERROR(IF(AND(1-(WEEKDAY(DATE('⚙️ Configuración'!$C$9+1,3,1),2)-1)+1&gt;=1,1-(WEEKDAY(DATE('⚙️ Configuración'!$C$9+1,3,1),2)-1)+1&lt;=DAY(EOMONTH(DATE('⚙️ Configuración'!$C$9+1,3,1),0))),1-(WEEKDAY(DATE('⚙️ Configuración'!$C$9+1,3,1),2)-1)+1,""),"")</f>
        <v/>
      </c>
      <c r="O4" s="68" t="str">
        <f>IFERROR(IF(AND(2-(WEEKDAY(DATE('⚙️ Configuración'!$C$9+1,3,1),2)-1)+1&gt;=1,2-(WEEKDAY(DATE('⚙️ Configuración'!$C$9+1,3,1),2)-1)+1&lt;=DAY(EOMONTH(DATE('⚙️ Configuración'!$C$9+1,3,1),0))),2-(WEEKDAY(DATE('⚙️ Configuración'!$C$9+1,3,1),2)-1)+1,""),"")</f>
        <v/>
      </c>
      <c r="P4" s="68">
        <f>IFERROR(IF(AND(3-(WEEKDAY(DATE('⚙️ Configuración'!$C$9+1,3,1),2)-1)+1&gt;=1,3-(WEEKDAY(DATE('⚙️ Configuración'!$C$9+1,3,1),2)-1)+1&lt;=DAY(EOMONTH(DATE('⚙️ Configuración'!$C$9+1,3,1),0))),3-(WEEKDAY(DATE('⚙️ Configuración'!$C$9+1,3,1),2)-1)+1,""),"")</f>
        <v>1</v>
      </c>
      <c r="Q4" s="68">
        <f>IFERROR(IF(AND(4-(WEEKDAY(DATE('⚙️ Configuración'!$C$9+1,3,1),2)-1)+1&gt;=1,4-(WEEKDAY(DATE('⚙️ Configuración'!$C$9+1,3,1),2)-1)+1&lt;=DAY(EOMONTH(DATE('⚙️ Configuración'!$C$9+1,3,1),0))),4-(WEEKDAY(DATE('⚙️ Configuración'!$C$9+1,3,1),2)-1)+1,""),"")</f>
        <v>2</v>
      </c>
      <c r="R4" s="68">
        <f>IFERROR(IF(AND(5-(WEEKDAY(DATE('⚙️ Configuración'!$C$9+1,3,1),2)-1)+1&gt;=1,5-(WEEKDAY(DATE('⚙️ Configuración'!$C$9+1,3,1),2)-1)+1&lt;=DAY(EOMONTH(DATE('⚙️ Configuración'!$C$9+1,3,1),0))),5-(WEEKDAY(DATE('⚙️ Configuración'!$C$9+1,3,1),2)-1)+1,""),"")</f>
        <v>3</v>
      </c>
      <c r="S4" s="68">
        <f>IFERROR(IF(AND(6-(WEEKDAY(DATE('⚙️ Configuración'!$C$9+1,3,1),2)-1)+1&gt;=1,6-(WEEKDAY(DATE('⚙️ Configuración'!$C$9+1,3,1),2)-1)+1&lt;=DAY(EOMONTH(DATE('⚙️ Configuración'!$C$9+1,3,1),0))),6-(WEEKDAY(DATE('⚙️ Configuración'!$C$9+1,3,1),2)-1)+1,""),"")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Configuración'!$C$9+1,3,1),2)-1)+1&gt;=1,7-(WEEKDAY(DATE('⚙️ Configuración'!$C$9+1,3,1),2)-1)+1&lt;=DAY(EOMONTH(DATE('⚙️ Configuración'!$C$9+1,3,1),0))),7-(WEEKDAY(DATE('⚙️ Configuración'!$C$9+1,3,1),2)-1)+1,""),"")</f>
        <v>5</v>
      </c>
      <c r="N5" s="68">
        <f>IFERROR(IF(AND(8-(WEEKDAY(DATE('⚙️ Configuración'!$C$9+1,3,1),2)-1)+1&gt;=1,8-(WEEKDAY(DATE('⚙️ Configuración'!$C$9+1,3,1),2)-1)+1&lt;=DAY(EOMONTH(DATE('⚙️ Configuración'!$C$9+1,3,1),0))),8-(WEEKDAY(DATE('⚙️ Configuración'!$C$9+1,3,1),2)-1)+1,""),"")</f>
        <v>6</v>
      </c>
      <c r="O5" s="68">
        <f>IFERROR(IF(AND(9-(WEEKDAY(DATE('⚙️ Configuración'!$C$9+1,3,1),2)-1)+1&gt;=1,9-(WEEKDAY(DATE('⚙️ Configuración'!$C$9+1,3,1),2)-1)+1&lt;=DAY(EOMONTH(DATE('⚙️ Configuración'!$C$9+1,3,1),0))),9-(WEEKDAY(DATE('⚙️ Configuración'!$C$9+1,3,1),2)-1)+1,""),"")</f>
        <v>7</v>
      </c>
      <c r="P5" s="68">
        <f>IFERROR(IF(AND(10-(WEEKDAY(DATE('⚙️ Configuración'!$C$9+1,3,1),2)-1)+1&gt;=1,10-(WEEKDAY(DATE('⚙️ Configuración'!$C$9+1,3,1),2)-1)+1&lt;=DAY(EOMONTH(DATE('⚙️ Configuración'!$C$9+1,3,1),0))),10-(WEEKDAY(DATE('⚙️ Configuración'!$C$9+1,3,1),2)-1)+1,""),"")</f>
        <v>8</v>
      </c>
      <c r="Q5" s="68">
        <f>IFERROR(IF(AND(11-(WEEKDAY(DATE('⚙️ Configuración'!$C$9+1,3,1),2)-1)+1&gt;=1,11-(WEEKDAY(DATE('⚙️ Configuración'!$C$9+1,3,1),2)-1)+1&lt;=DAY(EOMONTH(DATE('⚙️ Configuración'!$C$9+1,3,1),0))),11-(WEEKDAY(DATE('⚙️ Configuración'!$C$9+1,3,1),2)-1)+1,""),"")</f>
        <v>9</v>
      </c>
      <c r="R5" s="68">
        <f>IFERROR(IF(AND(12-(WEEKDAY(DATE('⚙️ Configuración'!$C$9+1,3,1),2)-1)+1&gt;=1,12-(WEEKDAY(DATE('⚙️ Configuración'!$C$9+1,3,1),2)-1)+1&lt;=DAY(EOMONTH(DATE('⚙️ Configuración'!$C$9+1,3,1),0))),12-(WEEKDAY(DATE('⚙️ Configuración'!$C$9+1,3,1),2)-1)+1,""),"")</f>
        <v>10</v>
      </c>
      <c r="S5" s="68">
        <f>IFERROR(IF(AND(13-(WEEKDAY(DATE('⚙️ Configuración'!$C$9+1,3,1),2)-1)+1&gt;=1,13-(WEEKDAY(DATE('⚙️ Configuración'!$C$9+1,3,1),2)-1)+1&lt;=DAY(EOMONTH(DATE('⚙️ Configuración'!$C$9+1,3,1),0))),13-(WEEKDAY(DATE('⚙️ Configuración'!$C$9+1,3,1),2)-1)+1,""),"")</f>
        <v>11</v>
      </c>
      <c r="T5" s="6"/>
      <c r="U5" s="6"/>
      <c r="V5" s="16"/>
      <c r="W5" s="16"/>
      <c r="X5" s="16"/>
      <c r="Y5" s="28" t="s">
        <v>153</v>
      </c>
      <c r="Z5" s="67">
        <f t="shared" ref="Z5:AA5" si="2">E44</f>
        <v>0</v>
      </c>
      <c r="AA5" s="67">
        <f t="shared" si="2"/>
        <v>0</v>
      </c>
      <c r="AB5" s="16"/>
    </row>
    <row r="6" spans="1:28" ht="16.5" customHeight="1">
      <c r="A6" s="16"/>
      <c r="B6" s="153" t="str">
        <f>IF(SUM(F11:F52)=0,"📝  Marzo todavía no tiene datos. Empezá por la columna Real","✅  Mes cargado. Todos los cálculos se actualizan solos")</f>
        <v>📝  Marzo todavía no tiene datos. Empezá por la columna Real</v>
      </c>
      <c r="C6" s="88"/>
      <c r="D6" s="88"/>
      <c r="E6" s="88"/>
      <c r="F6" s="88"/>
      <c r="G6" s="88"/>
      <c r="H6" s="88"/>
      <c r="I6" s="16"/>
      <c r="J6" s="16"/>
      <c r="K6" s="12"/>
      <c r="L6" s="12"/>
      <c r="M6" s="68">
        <f>IFERROR(IF(AND(14-(WEEKDAY(DATE('⚙️ Configuración'!$C$9+1,3,1),2)-1)+1&gt;=1,14-(WEEKDAY(DATE('⚙️ Configuración'!$C$9+1,3,1),2)-1)+1&lt;=DAY(EOMONTH(DATE('⚙️ Configuración'!$C$9+1,3,1),0))),14-(WEEKDAY(DATE('⚙️ Configuración'!$C$9+1,3,1),2)-1)+1,""),"")</f>
        <v>12</v>
      </c>
      <c r="N6" s="68">
        <f>IFERROR(IF(AND(15-(WEEKDAY(DATE('⚙️ Configuración'!$C$9+1,3,1),2)-1)+1&gt;=1,15-(WEEKDAY(DATE('⚙️ Configuración'!$C$9+1,3,1),2)-1)+1&lt;=DAY(EOMONTH(DATE('⚙️ Configuración'!$C$9+1,3,1),0))),15-(WEEKDAY(DATE('⚙️ Configuración'!$C$9+1,3,1),2)-1)+1,""),"")</f>
        <v>13</v>
      </c>
      <c r="O6" s="68">
        <f>IFERROR(IF(AND(16-(WEEKDAY(DATE('⚙️ Configuración'!$C$9+1,3,1),2)-1)+1&gt;=1,16-(WEEKDAY(DATE('⚙️ Configuración'!$C$9+1,3,1),2)-1)+1&lt;=DAY(EOMONTH(DATE('⚙️ Configuración'!$C$9+1,3,1),0))),16-(WEEKDAY(DATE('⚙️ Configuración'!$C$9+1,3,1),2)-1)+1,""),"")</f>
        <v>14</v>
      </c>
      <c r="P6" s="68">
        <f>IFERROR(IF(AND(17-(WEEKDAY(DATE('⚙️ Configuración'!$C$9+1,3,1),2)-1)+1&gt;=1,17-(WEEKDAY(DATE('⚙️ Configuración'!$C$9+1,3,1),2)-1)+1&lt;=DAY(EOMONTH(DATE('⚙️ Configuración'!$C$9+1,3,1),0))),17-(WEEKDAY(DATE('⚙️ Configuración'!$C$9+1,3,1),2)-1)+1,""),"")</f>
        <v>15</v>
      </c>
      <c r="Q6" s="68">
        <f>IFERROR(IF(AND(18-(WEEKDAY(DATE('⚙️ Configuración'!$C$9+1,3,1),2)-1)+1&gt;=1,18-(WEEKDAY(DATE('⚙️ Configuración'!$C$9+1,3,1),2)-1)+1&lt;=DAY(EOMONTH(DATE('⚙️ Configuración'!$C$9+1,3,1),0))),18-(WEEKDAY(DATE('⚙️ Configuración'!$C$9+1,3,1),2)-1)+1,""),"")</f>
        <v>16</v>
      </c>
      <c r="R6" s="68">
        <f>IFERROR(IF(AND(19-(WEEKDAY(DATE('⚙️ Configuración'!$C$9+1,3,1),2)-1)+1&gt;=1,19-(WEEKDAY(DATE('⚙️ Configuración'!$C$9+1,3,1),2)-1)+1&lt;=DAY(EOMONTH(DATE('⚙️ Configuración'!$C$9+1,3,1),0))),19-(WEEKDAY(DATE('⚙️ Configuración'!$C$9+1,3,1),2)-1)+1,""),"")</f>
        <v>17</v>
      </c>
      <c r="S6" s="68">
        <f>IFERROR(IF(AND(20-(WEEKDAY(DATE('⚙️ Configuración'!$C$9+1,3,1),2)-1)+1&gt;=1,20-(WEEKDAY(DATE('⚙️ Configuración'!$C$9+1,3,1),2)-1)+1&lt;=DAY(EOMONTH(DATE('⚙️ Configuración'!$C$9+1,3,1),0))),20-(WEEKDAY(DATE('⚙️ Configuración'!$C$9+1,3,1),2)-1)+1,""),"")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Configuración'!$C$9+1,3,1),2)-1)+1&gt;=1,21-(WEEKDAY(DATE('⚙️ Configuración'!$C$9+1,3,1),2)-1)+1&lt;=DAY(EOMONTH(DATE('⚙️ Configuración'!$C$9+1,3,1),0))),21-(WEEKDAY(DATE('⚙️ Configuración'!$C$9+1,3,1),2)-1)+1,""),"")</f>
        <v>19</v>
      </c>
      <c r="N7" s="68">
        <f>IFERROR(IF(AND(22-(WEEKDAY(DATE('⚙️ Configuración'!$C$9+1,3,1),2)-1)+1&gt;=1,22-(WEEKDAY(DATE('⚙️ Configuración'!$C$9+1,3,1),2)-1)+1&lt;=DAY(EOMONTH(DATE('⚙️ Configuración'!$C$9+1,3,1),0))),22-(WEEKDAY(DATE('⚙️ Configuración'!$C$9+1,3,1),2)-1)+1,""),"")</f>
        <v>20</v>
      </c>
      <c r="O7" s="68">
        <f>IFERROR(IF(AND(23-(WEEKDAY(DATE('⚙️ Configuración'!$C$9+1,3,1),2)-1)+1&gt;=1,23-(WEEKDAY(DATE('⚙️ Configuración'!$C$9+1,3,1),2)-1)+1&lt;=DAY(EOMONTH(DATE('⚙️ Configuración'!$C$9+1,3,1),0))),23-(WEEKDAY(DATE('⚙️ Configuración'!$C$9+1,3,1),2)-1)+1,""),"")</f>
        <v>21</v>
      </c>
      <c r="P7" s="68">
        <f>IFERROR(IF(AND(24-(WEEKDAY(DATE('⚙️ Configuración'!$C$9+1,3,1),2)-1)+1&gt;=1,24-(WEEKDAY(DATE('⚙️ Configuración'!$C$9+1,3,1),2)-1)+1&lt;=DAY(EOMONTH(DATE('⚙️ Configuración'!$C$9+1,3,1),0))),24-(WEEKDAY(DATE('⚙️ Configuración'!$C$9+1,3,1),2)-1)+1,""),"")</f>
        <v>22</v>
      </c>
      <c r="Q7" s="68">
        <f>IFERROR(IF(AND(25-(WEEKDAY(DATE('⚙️ Configuración'!$C$9+1,3,1),2)-1)+1&gt;=1,25-(WEEKDAY(DATE('⚙️ Configuración'!$C$9+1,3,1),2)-1)+1&lt;=DAY(EOMONTH(DATE('⚙️ Configuración'!$C$9+1,3,1),0))),25-(WEEKDAY(DATE('⚙️ Configuración'!$C$9+1,3,1),2)-1)+1,""),"")</f>
        <v>23</v>
      </c>
      <c r="R7" s="68">
        <f>IFERROR(IF(AND(26-(WEEKDAY(DATE('⚙️ Configuración'!$C$9+1,3,1),2)-1)+1&gt;=1,26-(WEEKDAY(DATE('⚙️ Configuración'!$C$9+1,3,1),2)-1)+1&lt;=DAY(EOMONTH(DATE('⚙️ Configuración'!$C$9+1,3,1),0))),26-(WEEKDAY(DATE('⚙️ Configuración'!$C$9+1,3,1),2)-1)+1,""),"")</f>
        <v>24</v>
      </c>
      <c r="S7" s="68">
        <f>IFERROR(IF(AND(27-(WEEKDAY(DATE('⚙️ Configuración'!$C$9+1,3,1),2)-1)+1&gt;=1,27-(WEEKDAY(DATE('⚙️ Configuración'!$C$9+1,3,1),2)-1)+1&lt;=DAY(EOMONTH(DATE('⚙️ Configuración'!$C$9+1,3,1),0))),27-(WEEKDAY(DATE('⚙️ Configuración'!$C$9+1,3,1),2)-1)+1,""),"")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Configuración'!$C$9+1,3,1),2)-1)+1&gt;=1,28-(WEEKDAY(DATE('⚙️ Configuración'!$C$9+1,3,1),2)-1)+1&lt;=DAY(EOMONTH(DATE('⚙️ Configuración'!$C$9+1,3,1),0))),28-(WEEKDAY(DATE('⚙️ Configuración'!$C$9+1,3,1),2)-1)+1,""),"")</f>
        <v>26</v>
      </c>
      <c r="N8" s="68">
        <f>IFERROR(IF(AND(29-(WEEKDAY(DATE('⚙️ Configuración'!$C$9+1,3,1),2)-1)+1&gt;=1,29-(WEEKDAY(DATE('⚙️ Configuración'!$C$9+1,3,1),2)-1)+1&lt;=DAY(EOMONTH(DATE('⚙️ Configuración'!$C$9+1,3,1),0))),29-(WEEKDAY(DATE('⚙️ Configuración'!$C$9+1,3,1),2)-1)+1,""),"")</f>
        <v>27</v>
      </c>
      <c r="O8" s="68">
        <f>IFERROR(IF(AND(30-(WEEKDAY(DATE('⚙️ Configuración'!$C$9+1,3,1),2)-1)+1&gt;=1,30-(WEEKDAY(DATE('⚙️ Configuración'!$C$9+1,3,1),2)-1)+1&lt;=DAY(EOMONTH(DATE('⚙️ Configuración'!$C$9+1,3,1),0))),30-(WEEKDAY(DATE('⚙️ Configuración'!$C$9+1,3,1),2)-1)+1,""),"")</f>
        <v>28</v>
      </c>
      <c r="P8" s="68">
        <f>IFERROR(IF(AND(31-(WEEKDAY(DATE('⚙️ Configuración'!$C$9+1,3,1),2)-1)+1&gt;=1,31-(WEEKDAY(DATE('⚙️ Configuración'!$C$9+1,3,1),2)-1)+1&lt;=DAY(EOMONTH(DATE('⚙️ Configuración'!$C$9+1,3,1),0))),31-(WEEKDAY(DATE('⚙️ Configuración'!$C$9+1,3,1),2)-1)+1,""),"")</f>
        <v>29</v>
      </c>
      <c r="Q8" s="68">
        <f>IFERROR(IF(AND(32-(WEEKDAY(DATE('⚙️ Configuración'!$C$9+1,3,1),2)-1)+1&gt;=1,32-(WEEKDAY(DATE('⚙️ Configuración'!$C$9+1,3,1),2)-1)+1&lt;=DAY(EOMONTH(DATE('⚙️ Configuración'!$C$9+1,3,1),0))),32-(WEEKDAY(DATE('⚙️ Configuración'!$C$9+1,3,1),2)-1)+1,""),"")</f>
        <v>30</v>
      </c>
      <c r="R8" s="68">
        <f>IFERROR(IF(AND(33-(WEEKDAY(DATE('⚙️ Configuración'!$C$9+1,3,1),2)-1)+1&gt;=1,33-(WEEKDAY(DATE('⚙️ Configuración'!$C$9+1,3,1),2)-1)+1&lt;=DAY(EOMONTH(DATE('⚙️ Configuración'!$C$9+1,3,1),0))),33-(WEEKDAY(DATE('⚙️ Configuración'!$C$9+1,3,1),2)-1)+1,""),"")</f>
        <v>31</v>
      </c>
      <c r="S8" s="68" t="str">
        <f>IFERROR(IF(AND(34-(WEEKDAY(DATE('⚙️ Configuración'!$C$9+1,3,1),2)-1)+1&gt;=1,34-(WEEKDAY(DATE('⚙️ Configuración'!$C$9+1,3,1),2)-1)+1&lt;=DAY(EOMONTH(DATE('⚙️ Configuración'!$C$9+1,3,1),0))),34-(WEEKDAY(DATE('⚙️ Configuración'!$C$9+1,3,1),2)-1)+1,""),"")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Configuración'!$C$9+1,3,1),2)-1)+1&gt;=1,35-(WEEKDAY(DATE('⚙️ Configuración'!$C$9+1,3,1),2)-1)+1&lt;=DAY(EOMONTH(DATE('⚙️ Configuración'!$C$9+1,3,1),0))),35-(WEEKDAY(DATE('⚙️ Configuración'!$C$9+1,3,1),2)-1)+1,""),"")</f>
        <v/>
      </c>
      <c r="N9" s="68" t="str">
        <f>IFERROR(IF(AND(36-(WEEKDAY(DATE('⚙️ Configuración'!$C$9+1,3,1),2)-1)+1&gt;=1,36-(WEEKDAY(DATE('⚙️ Configuración'!$C$9+1,3,1),2)-1)+1&lt;=DAY(EOMONTH(DATE('⚙️ Configuración'!$C$9+1,3,1),0))),36-(WEEKDAY(DATE('⚙️ Configuración'!$C$9+1,3,1),2)-1)+1,""),"")</f>
        <v/>
      </c>
      <c r="O9" s="68" t="str">
        <f>IFERROR(IF(AND(37-(WEEKDAY(DATE('⚙️ Configuración'!$C$9+1,3,1),2)-1)+1&gt;=1,37-(WEEKDAY(DATE('⚙️ Configuración'!$C$9+1,3,1),2)-1)+1&lt;=DAY(EOMONTH(DATE('⚙️ Configuración'!$C$9+1,3,1),0))),37-(WEEKDAY(DATE('⚙️ Configuración'!$C$9+1,3,1),2)-1)+1,""),"")</f>
        <v/>
      </c>
      <c r="P9" s="68" t="str">
        <f>IFERROR(IF(AND(38-(WEEKDAY(DATE('⚙️ Configuración'!$C$9+1,3,1),2)-1)+1&gt;=1,38-(WEEKDAY(DATE('⚙️ Configuración'!$C$9+1,3,1),2)-1)+1&lt;=DAY(EOMONTH(DATE('⚙️ Configuración'!$C$9+1,3,1),0))),38-(WEEKDAY(DATE('⚙️ Configuración'!$C$9+1,3,1),2)-1)+1,""),"")</f>
        <v/>
      </c>
      <c r="Q9" s="68" t="str">
        <f>IFERROR(IF(AND(39-(WEEKDAY(DATE('⚙️ Configuración'!$C$9+1,3,1),2)-1)+1&gt;=1,39-(WEEKDAY(DATE('⚙️ Configuración'!$C$9+1,3,1),2)-1)+1&lt;=DAY(EOMONTH(DATE('⚙️ Configuración'!$C$9+1,3,1),0))),39-(WEEKDAY(DATE('⚙️ Configuración'!$C$9+1,3,1),2)-1)+1,""),"")</f>
        <v/>
      </c>
      <c r="R9" s="68" t="str">
        <f>IFERROR(IF(AND(40-(WEEKDAY(DATE('⚙️ Configuración'!$C$9+1,3,1),2)-1)+1&gt;=1,40-(WEEKDAY(DATE('⚙️ Configuración'!$C$9+1,3,1),2)-1)+1&lt;=DAY(EOMONTH(DATE('⚙️ Configuración'!$C$9+1,3,1),0))),40-(WEEKDAY(DATE('⚙️ Configuración'!$C$9+1,3,1),2)-1)+1,""),"")</f>
        <v/>
      </c>
      <c r="S9" s="68" t="str">
        <f>IFERROR(IF(AND(41-(WEEKDAY(DATE('⚙️ Configuración'!$C$9+1,3,1),2)-1)+1&gt;=1,41-(WEEKDAY(DATE('⚙️ Configuración'!$C$9+1,3,1),2)-1)+1&lt;=DAY(EOMONTH(DATE('⚙️ Configuración'!$C$9+1,3,1),0))),41-(WEEKDAY(DATE('⚙️ Configuración'!$C$9+1,3,1),2)-1)+1,""),"")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ABRIL</t>
        </is>
      </c>
      <c r="C2" s="88"/>
      <c r="D2" s="88"/>
      <c r="E2" s="62">
        <f>'⚙️ Configuración'!C9+1</f>
        <v>2026</v>
      </c>
      <c r="F2" s="16"/>
      <c r="G2" s="16"/>
      <c r="H2" s="63" t="s">
        <v>216</v>
      </c>
      <c r="I2" s="16"/>
      <c r="J2" s="16"/>
      <c r="K2" s="12"/>
      <c r="L2" s="12"/>
      <c r="M2" s="144" t="inlineStr">
        <is>
          <t>ABRIL</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Configuración'!$C$9+1,4,1),2)-1)+1&gt;=1,0-(WEEKDAY(DATE('⚙️ Configuración'!$C$9+1,4,1),2)-1)+1&lt;=DAY(EOMONTH(DATE('⚙️ Configuración'!$C$9+1,4,1),0))),0-(WEEKDAY(DATE('⚙️ Configuración'!$C$9+1,4,1),2)-1)+1,""),"")</f>
        <v/>
      </c>
      <c r="N4" s="68" t="str">
        <f>IFERROR(IF(AND(1-(WEEKDAY(DATE('⚙️ Configuración'!$C$9+1,4,1),2)-1)+1&gt;=1,1-(WEEKDAY(DATE('⚙️ Configuración'!$C$9+1,4,1),2)-1)+1&lt;=DAY(EOMONTH(DATE('⚙️ Configuración'!$C$9+1,4,1),0))),1-(WEEKDAY(DATE('⚙️ Configuración'!$C$9+1,4,1),2)-1)+1,""),"")</f>
        <v/>
      </c>
      <c r="O4" s="68" t="str">
        <f>IFERROR(IF(AND(2-(WEEKDAY(DATE('⚙️ Configuración'!$C$9+1,4,1),2)-1)+1&gt;=1,2-(WEEKDAY(DATE('⚙️ Configuración'!$C$9+1,4,1),2)-1)+1&lt;=DAY(EOMONTH(DATE('⚙️ Configuración'!$C$9+1,4,1),0))),2-(WEEKDAY(DATE('⚙️ Configuración'!$C$9+1,4,1),2)-1)+1,""),"")</f>
        <v/>
      </c>
      <c r="P4" s="68">
        <f>IFERROR(IF(AND(3-(WEEKDAY(DATE('⚙️ Configuración'!$C$9+1,4,1),2)-1)+1&gt;=1,3-(WEEKDAY(DATE('⚙️ Configuración'!$C$9+1,4,1),2)-1)+1&lt;=DAY(EOMONTH(DATE('⚙️ Configuración'!$C$9+1,4,1),0))),3-(WEEKDAY(DATE('⚙️ Configuración'!$C$9+1,4,1),2)-1)+1,""),"")</f>
        <v>1</v>
      </c>
      <c r="Q4" s="68">
        <f>IFERROR(IF(AND(4-(WEEKDAY(DATE('⚙️ Configuración'!$C$9+1,4,1),2)-1)+1&gt;=1,4-(WEEKDAY(DATE('⚙️ Configuración'!$C$9+1,4,1),2)-1)+1&lt;=DAY(EOMONTH(DATE('⚙️ Configuración'!$C$9+1,4,1),0))),4-(WEEKDAY(DATE('⚙️ Configuración'!$C$9+1,4,1),2)-1)+1,""),"")</f>
        <v>2</v>
      </c>
      <c r="R4" s="68">
        <f>IFERROR(IF(AND(5-(WEEKDAY(DATE('⚙️ Configuración'!$C$9+1,4,1),2)-1)+1&gt;=1,5-(WEEKDAY(DATE('⚙️ Configuración'!$C$9+1,4,1),2)-1)+1&lt;=DAY(EOMONTH(DATE('⚙️ Configuración'!$C$9+1,4,1),0))),5-(WEEKDAY(DATE('⚙️ Configuración'!$C$9+1,4,1),2)-1)+1,""),"")</f>
        <v>3</v>
      </c>
      <c r="S4" s="68">
        <f>IFERROR(IF(AND(6-(WEEKDAY(DATE('⚙️ Configuración'!$C$9+1,4,1),2)-1)+1&gt;=1,6-(WEEKDAY(DATE('⚙️ Configuración'!$C$9+1,4,1),2)-1)+1&lt;=DAY(EOMONTH(DATE('⚙️ Configuración'!$C$9+1,4,1),0))),6-(WEEKDAY(DATE('⚙️ Configuración'!$C$9+1,4,1),2)-1)+1,""),"")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Configuración'!$C$9+1,4,1),2)-1)+1&gt;=1,7-(WEEKDAY(DATE('⚙️ Configuración'!$C$9+1,4,1),2)-1)+1&lt;=DAY(EOMONTH(DATE('⚙️ Configuración'!$C$9+1,4,1),0))),7-(WEEKDAY(DATE('⚙️ Configuración'!$C$9+1,4,1),2)-1)+1,""),"")</f>
        <v>5</v>
      </c>
      <c r="N5" s="68">
        <f>IFERROR(IF(AND(8-(WEEKDAY(DATE('⚙️ Configuración'!$C$9+1,4,1),2)-1)+1&gt;=1,8-(WEEKDAY(DATE('⚙️ Configuración'!$C$9+1,4,1),2)-1)+1&lt;=DAY(EOMONTH(DATE('⚙️ Configuración'!$C$9+1,4,1),0))),8-(WEEKDAY(DATE('⚙️ Configuración'!$C$9+1,4,1),2)-1)+1,""),"")</f>
        <v>6</v>
      </c>
      <c r="O5" s="68">
        <f>IFERROR(IF(AND(9-(WEEKDAY(DATE('⚙️ Configuración'!$C$9+1,4,1),2)-1)+1&gt;=1,9-(WEEKDAY(DATE('⚙️ Configuración'!$C$9+1,4,1),2)-1)+1&lt;=DAY(EOMONTH(DATE('⚙️ Configuración'!$C$9+1,4,1),0))),9-(WEEKDAY(DATE('⚙️ Configuración'!$C$9+1,4,1),2)-1)+1,""),"")</f>
        <v>7</v>
      </c>
      <c r="P5" s="68">
        <f>IFERROR(IF(AND(10-(WEEKDAY(DATE('⚙️ Configuración'!$C$9+1,4,1),2)-1)+1&gt;=1,10-(WEEKDAY(DATE('⚙️ Configuración'!$C$9+1,4,1),2)-1)+1&lt;=DAY(EOMONTH(DATE('⚙️ Configuración'!$C$9+1,4,1),0))),10-(WEEKDAY(DATE('⚙️ Configuración'!$C$9+1,4,1),2)-1)+1,""),"")</f>
        <v>8</v>
      </c>
      <c r="Q5" s="68">
        <f>IFERROR(IF(AND(11-(WEEKDAY(DATE('⚙️ Configuración'!$C$9+1,4,1),2)-1)+1&gt;=1,11-(WEEKDAY(DATE('⚙️ Configuración'!$C$9+1,4,1),2)-1)+1&lt;=DAY(EOMONTH(DATE('⚙️ Configuración'!$C$9+1,4,1),0))),11-(WEEKDAY(DATE('⚙️ Configuración'!$C$9+1,4,1),2)-1)+1,""),"")</f>
        <v>9</v>
      </c>
      <c r="R5" s="68">
        <f>IFERROR(IF(AND(12-(WEEKDAY(DATE('⚙️ Configuración'!$C$9+1,4,1),2)-1)+1&gt;=1,12-(WEEKDAY(DATE('⚙️ Configuración'!$C$9+1,4,1),2)-1)+1&lt;=DAY(EOMONTH(DATE('⚙️ Configuración'!$C$9+1,4,1),0))),12-(WEEKDAY(DATE('⚙️ Configuración'!$C$9+1,4,1),2)-1)+1,""),"")</f>
        <v>10</v>
      </c>
      <c r="S5" s="68">
        <f>IFERROR(IF(AND(13-(WEEKDAY(DATE('⚙️ Configuración'!$C$9+1,4,1),2)-1)+1&gt;=1,13-(WEEKDAY(DATE('⚙️ Configuración'!$C$9+1,4,1),2)-1)+1&lt;=DAY(EOMONTH(DATE('⚙️ Configuración'!$C$9+1,4,1),0))),13-(WEEKDAY(DATE('⚙️ Configuración'!$C$9+1,4,1),2)-1)+1,""),"")</f>
        <v>11</v>
      </c>
      <c r="T5" s="6"/>
      <c r="U5" s="6"/>
      <c r="V5" s="16"/>
      <c r="W5" s="16"/>
      <c r="X5" s="16"/>
      <c r="Y5" s="28" t="s">
        <v>153</v>
      </c>
      <c r="Z5" s="67">
        <f t="shared" ref="Z5:AA5" si="2">E44</f>
        <v>0</v>
      </c>
      <c r="AA5" s="67">
        <f t="shared" si="2"/>
        <v>0</v>
      </c>
      <c r="AB5" s="16"/>
    </row>
    <row r="6" spans="1:28" ht="16.5" customHeight="1">
      <c r="A6" s="16"/>
      <c r="B6" s="153" t="str">
        <f>IF(SUM(F11:F52)=0,"📝  Abril todavía no tiene datos. Empezá por la columna Real","✅  Mes cargado. Todos los cálculos se actualizan solos")</f>
        <v>📝  Abril todavía no tiene datos. Empezá por la columna Real</v>
      </c>
      <c r="C6" s="88"/>
      <c r="D6" s="88"/>
      <c r="E6" s="88"/>
      <c r="F6" s="88"/>
      <c r="G6" s="88"/>
      <c r="H6" s="88"/>
      <c r="I6" s="16"/>
      <c r="J6" s="16"/>
      <c r="K6" s="12"/>
      <c r="L6" s="12"/>
      <c r="M6" s="68">
        <f>IFERROR(IF(AND(14-(WEEKDAY(DATE('⚙️ Configuración'!$C$9+1,4,1),2)-1)+1&gt;=1,14-(WEEKDAY(DATE('⚙️ Configuración'!$C$9+1,4,1),2)-1)+1&lt;=DAY(EOMONTH(DATE('⚙️ Configuración'!$C$9+1,4,1),0))),14-(WEEKDAY(DATE('⚙️ Configuración'!$C$9+1,4,1),2)-1)+1,""),"")</f>
        <v>12</v>
      </c>
      <c r="N6" s="68">
        <f>IFERROR(IF(AND(15-(WEEKDAY(DATE('⚙️ Configuración'!$C$9+1,4,1),2)-1)+1&gt;=1,15-(WEEKDAY(DATE('⚙️ Configuración'!$C$9+1,4,1),2)-1)+1&lt;=DAY(EOMONTH(DATE('⚙️ Configuración'!$C$9+1,4,1),0))),15-(WEEKDAY(DATE('⚙️ Configuración'!$C$9+1,4,1),2)-1)+1,""),"")</f>
        <v>13</v>
      </c>
      <c r="O6" s="68">
        <f>IFERROR(IF(AND(16-(WEEKDAY(DATE('⚙️ Configuración'!$C$9+1,4,1),2)-1)+1&gt;=1,16-(WEEKDAY(DATE('⚙️ Configuración'!$C$9+1,4,1),2)-1)+1&lt;=DAY(EOMONTH(DATE('⚙️ Configuración'!$C$9+1,4,1),0))),16-(WEEKDAY(DATE('⚙️ Configuración'!$C$9+1,4,1),2)-1)+1,""),"")</f>
        <v>14</v>
      </c>
      <c r="P6" s="68">
        <f>IFERROR(IF(AND(17-(WEEKDAY(DATE('⚙️ Configuración'!$C$9+1,4,1),2)-1)+1&gt;=1,17-(WEEKDAY(DATE('⚙️ Configuración'!$C$9+1,4,1),2)-1)+1&lt;=DAY(EOMONTH(DATE('⚙️ Configuración'!$C$9+1,4,1),0))),17-(WEEKDAY(DATE('⚙️ Configuración'!$C$9+1,4,1),2)-1)+1,""),"")</f>
        <v>15</v>
      </c>
      <c r="Q6" s="68">
        <f>IFERROR(IF(AND(18-(WEEKDAY(DATE('⚙️ Configuración'!$C$9+1,4,1),2)-1)+1&gt;=1,18-(WEEKDAY(DATE('⚙️ Configuración'!$C$9+1,4,1),2)-1)+1&lt;=DAY(EOMONTH(DATE('⚙️ Configuración'!$C$9+1,4,1),0))),18-(WEEKDAY(DATE('⚙️ Configuración'!$C$9+1,4,1),2)-1)+1,""),"")</f>
        <v>16</v>
      </c>
      <c r="R6" s="68">
        <f>IFERROR(IF(AND(19-(WEEKDAY(DATE('⚙️ Configuración'!$C$9+1,4,1),2)-1)+1&gt;=1,19-(WEEKDAY(DATE('⚙️ Configuración'!$C$9+1,4,1),2)-1)+1&lt;=DAY(EOMONTH(DATE('⚙️ Configuración'!$C$9+1,4,1),0))),19-(WEEKDAY(DATE('⚙️ Configuración'!$C$9+1,4,1),2)-1)+1,""),"")</f>
        <v>17</v>
      </c>
      <c r="S6" s="68">
        <f>IFERROR(IF(AND(20-(WEEKDAY(DATE('⚙️ Configuración'!$C$9+1,4,1),2)-1)+1&gt;=1,20-(WEEKDAY(DATE('⚙️ Configuración'!$C$9+1,4,1),2)-1)+1&lt;=DAY(EOMONTH(DATE('⚙️ Configuración'!$C$9+1,4,1),0))),20-(WEEKDAY(DATE('⚙️ Configuración'!$C$9+1,4,1),2)-1)+1,""),"")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Configuración'!$C$9+1,4,1),2)-1)+1&gt;=1,21-(WEEKDAY(DATE('⚙️ Configuración'!$C$9+1,4,1),2)-1)+1&lt;=DAY(EOMONTH(DATE('⚙️ Configuración'!$C$9+1,4,1),0))),21-(WEEKDAY(DATE('⚙️ Configuración'!$C$9+1,4,1),2)-1)+1,""),"")</f>
        <v>19</v>
      </c>
      <c r="N7" s="68">
        <f>IFERROR(IF(AND(22-(WEEKDAY(DATE('⚙️ Configuración'!$C$9+1,4,1),2)-1)+1&gt;=1,22-(WEEKDAY(DATE('⚙️ Configuración'!$C$9+1,4,1),2)-1)+1&lt;=DAY(EOMONTH(DATE('⚙️ Configuración'!$C$9+1,4,1),0))),22-(WEEKDAY(DATE('⚙️ Configuración'!$C$9+1,4,1),2)-1)+1,""),"")</f>
        <v>20</v>
      </c>
      <c r="O7" s="68">
        <f>IFERROR(IF(AND(23-(WEEKDAY(DATE('⚙️ Configuración'!$C$9+1,4,1),2)-1)+1&gt;=1,23-(WEEKDAY(DATE('⚙️ Configuración'!$C$9+1,4,1),2)-1)+1&lt;=DAY(EOMONTH(DATE('⚙️ Configuración'!$C$9+1,4,1),0))),23-(WEEKDAY(DATE('⚙️ Configuración'!$C$9+1,4,1),2)-1)+1,""),"")</f>
        <v>21</v>
      </c>
      <c r="P7" s="68">
        <f>IFERROR(IF(AND(24-(WEEKDAY(DATE('⚙️ Configuración'!$C$9+1,4,1),2)-1)+1&gt;=1,24-(WEEKDAY(DATE('⚙️ Configuración'!$C$9+1,4,1),2)-1)+1&lt;=DAY(EOMONTH(DATE('⚙️ Configuración'!$C$9+1,4,1),0))),24-(WEEKDAY(DATE('⚙️ Configuración'!$C$9+1,4,1),2)-1)+1,""),"")</f>
        <v>22</v>
      </c>
      <c r="Q7" s="68">
        <f>IFERROR(IF(AND(25-(WEEKDAY(DATE('⚙️ Configuración'!$C$9+1,4,1),2)-1)+1&gt;=1,25-(WEEKDAY(DATE('⚙️ Configuración'!$C$9+1,4,1),2)-1)+1&lt;=DAY(EOMONTH(DATE('⚙️ Configuración'!$C$9+1,4,1),0))),25-(WEEKDAY(DATE('⚙️ Configuración'!$C$9+1,4,1),2)-1)+1,""),"")</f>
        <v>23</v>
      </c>
      <c r="R7" s="68">
        <f>IFERROR(IF(AND(26-(WEEKDAY(DATE('⚙️ Configuración'!$C$9+1,4,1),2)-1)+1&gt;=1,26-(WEEKDAY(DATE('⚙️ Configuración'!$C$9+1,4,1),2)-1)+1&lt;=DAY(EOMONTH(DATE('⚙️ Configuración'!$C$9+1,4,1),0))),26-(WEEKDAY(DATE('⚙️ Configuración'!$C$9+1,4,1),2)-1)+1,""),"")</f>
        <v>24</v>
      </c>
      <c r="S7" s="68">
        <f>IFERROR(IF(AND(27-(WEEKDAY(DATE('⚙️ Configuración'!$C$9+1,4,1),2)-1)+1&gt;=1,27-(WEEKDAY(DATE('⚙️ Configuración'!$C$9+1,4,1),2)-1)+1&lt;=DAY(EOMONTH(DATE('⚙️ Configuración'!$C$9+1,4,1),0))),27-(WEEKDAY(DATE('⚙️ Configuración'!$C$9+1,4,1),2)-1)+1,""),"")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Configuración'!$C$9+1,4,1),2)-1)+1&gt;=1,28-(WEEKDAY(DATE('⚙️ Configuración'!$C$9+1,4,1),2)-1)+1&lt;=DAY(EOMONTH(DATE('⚙️ Configuración'!$C$9+1,4,1),0))),28-(WEEKDAY(DATE('⚙️ Configuración'!$C$9+1,4,1),2)-1)+1,""),"")</f>
        <v>26</v>
      </c>
      <c r="N8" s="68">
        <f>IFERROR(IF(AND(29-(WEEKDAY(DATE('⚙️ Configuración'!$C$9+1,4,1),2)-1)+1&gt;=1,29-(WEEKDAY(DATE('⚙️ Configuración'!$C$9+1,4,1),2)-1)+1&lt;=DAY(EOMONTH(DATE('⚙️ Configuración'!$C$9+1,4,1),0))),29-(WEEKDAY(DATE('⚙️ Configuración'!$C$9+1,4,1),2)-1)+1,""),"")</f>
        <v>27</v>
      </c>
      <c r="O8" s="68">
        <f>IFERROR(IF(AND(30-(WEEKDAY(DATE('⚙️ Configuración'!$C$9+1,4,1),2)-1)+1&gt;=1,30-(WEEKDAY(DATE('⚙️ Configuración'!$C$9+1,4,1),2)-1)+1&lt;=DAY(EOMONTH(DATE('⚙️ Configuración'!$C$9+1,4,1),0))),30-(WEEKDAY(DATE('⚙️ Configuración'!$C$9+1,4,1),2)-1)+1,""),"")</f>
        <v>28</v>
      </c>
      <c r="P8" s="68">
        <f>IFERROR(IF(AND(31-(WEEKDAY(DATE('⚙️ Configuración'!$C$9+1,4,1),2)-1)+1&gt;=1,31-(WEEKDAY(DATE('⚙️ Configuración'!$C$9+1,4,1),2)-1)+1&lt;=DAY(EOMONTH(DATE('⚙️ Configuración'!$C$9+1,4,1),0))),31-(WEEKDAY(DATE('⚙️ Configuración'!$C$9+1,4,1),2)-1)+1,""),"")</f>
        <v>29</v>
      </c>
      <c r="Q8" s="68">
        <f>IFERROR(IF(AND(32-(WEEKDAY(DATE('⚙️ Configuración'!$C$9+1,4,1),2)-1)+1&gt;=1,32-(WEEKDAY(DATE('⚙️ Configuración'!$C$9+1,4,1),2)-1)+1&lt;=DAY(EOMONTH(DATE('⚙️ Configuración'!$C$9+1,4,1),0))),32-(WEEKDAY(DATE('⚙️ Configuración'!$C$9+1,4,1),2)-1)+1,""),"")</f>
        <v>30</v>
      </c>
      <c r="R8" s="68">
        <f>IFERROR(IF(AND(33-(WEEKDAY(DATE('⚙️ Configuración'!$C$9+1,4,1),2)-1)+1&gt;=1,33-(WEEKDAY(DATE('⚙️ Configuración'!$C$9+1,4,1),2)-1)+1&lt;=DAY(EOMONTH(DATE('⚙️ Configuración'!$C$9+1,4,1),0))),33-(WEEKDAY(DATE('⚙️ Configuración'!$C$9+1,4,1),2)-1)+1,""),"")</f>
        <v>31</v>
      </c>
      <c r="S8" s="68" t="str">
        <f>IFERROR(IF(AND(34-(WEEKDAY(DATE('⚙️ Configuración'!$C$9+1,4,1),2)-1)+1&gt;=1,34-(WEEKDAY(DATE('⚙️ Configuración'!$C$9+1,4,1),2)-1)+1&lt;=DAY(EOMONTH(DATE('⚙️ Configuración'!$C$9+1,4,1),0))),34-(WEEKDAY(DATE('⚙️ Configuración'!$C$9+1,4,1),2)-1)+1,""),"")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Configuración'!$C$9+1,4,1),2)-1)+1&gt;=1,35-(WEEKDAY(DATE('⚙️ Configuración'!$C$9+1,4,1),2)-1)+1&lt;=DAY(EOMONTH(DATE('⚙️ Configuración'!$C$9+1,4,1),0))),35-(WEEKDAY(DATE('⚙️ Configuración'!$C$9+1,4,1),2)-1)+1,""),"")</f>
        <v/>
      </c>
      <c r="N9" s="68" t="str">
        <f>IFERROR(IF(AND(36-(WEEKDAY(DATE('⚙️ Configuración'!$C$9+1,4,1),2)-1)+1&gt;=1,36-(WEEKDAY(DATE('⚙️ Configuración'!$C$9+1,4,1),2)-1)+1&lt;=DAY(EOMONTH(DATE('⚙️ Configuración'!$C$9+1,4,1),0))),36-(WEEKDAY(DATE('⚙️ Configuración'!$C$9+1,4,1),2)-1)+1,""),"")</f>
        <v/>
      </c>
      <c r="O9" s="68" t="str">
        <f>IFERROR(IF(AND(37-(WEEKDAY(DATE('⚙️ Configuración'!$C$9+1,4,1),2)-1)+1&gt;=1,37-(WEEKDAY(DATE('⚙️ Configuración'!$C$9+1,4,1),2)-1)+1&lt;=DAY(EOMONTH(DATE('⚙️ Configuración'!$C$9+1,4,1),0))),37-(WEEKDAY(DATE('⚙️ Configuración'!$C$9+1,4,1),2)-1)+1,""),"")</f>
        <v/>
      </c>
      <c r="P9" s="68" t="str">
        <f>IFERROR(IF(AND(38-(WEEKDAY(DATE('⚙️ Configuración'!$C$9+1,4,1),2)-1)+1&gt;=1,38-(WEEKDAY(DATE('⚙️ Configuración'!$C$9+1,4,1),2)-1)+1&lt;=DAY(EOMONTH(DATE('⚙️ Configuración'!$C$9+1,4,1),0))),38-(WEEKDAY(DATE('⚙️ Configuración'!$C$9+1,4,1),2)-1)+1,""),"")</f>
        <v/>
      </c>
      <c r="Q9" s="68" t="str">
        <f>IFERROR(IF(AND(39-(WEEKDAY(DATE('⚙️ Configuración'!$C$9+1,4,1),2)-1)+1&gt;=1,39-(WEEKDAY(DATE('⚙️ Configuración'!$C$9+1,4,1),2)-1)+1&lt;=DAY(EOMONTH(DATE('⚙️ Configuración'!$C$9+1,4,1),0))),39-(WEEKDAY(DATE('⚙️ Configuración'!$C$9+1,4,1),2)-1)+1,""),"")</f>
        <v/>
      </c>
      <c r="R9" s="68" t="str">
        <f>IFERROR(IF(AND(40-(WEEKDAY(DATE('⚙️ Configuración'!$C$9+1,4,1),2)-1)+1&gt;=1,40-(WEEKDAY(DATE('⚙️ Configuración'!$C$9+1,4,1),2)-1)+1&lt;=DAY(EOMONTH(DATE('⚙️ Configuración'!$C$9+1,4,1),0))),40-(WEEKDAY(DATE('⚙️ Configuración'!$C$9+1,4,1),2)-1)+1,""),"")</f>
        <v/>
      </c>
      <c r="S9" s="68" t="str">
        <f>IFERROR(IF(AND(41-(WEEKDAY(DATE('⚙️ Configuración'!$C$9+1,4,1),2)-1)+1&gt;=1,41-(WEEKDAY(DATE('⚙️ Configuración'!$C$9+1,4,1),2)-1)+1&lt;=DAY(EOMONTH(DATE('⚙️ Configuración'!$C$9+1,4,1),0))),41-(WEEKDAY(DATE('⚙️ Configuración'!$C$9+1,4,1),2)-1)+1,""),"")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MAYO</t>
        </is>
      </c>
      <c r="C2" s="88"/>
      <c r="D2" s="88"/>
      <c r="E2" s="62">
        <f>'⚙️ Configuración'!C9+1</f>
        <v>2026</v>
      </c>
      <c r="F2" s="16"/>
      <c r="G2" s="16"/>
      <c r="H2" s="63" t="s">
        <v>216</v>
      </c>
      <c r="I2" s="16"/>
      <c r="J2" s="16"/>
      <c r="K2" s="12"/>
      <c r="L2" s="12"/>
      <c r="M2" s="144" t="inlineStr">
        <is>
          <t>MAYO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Configuración'!$C$9+1,5,1),2)-1)+1&gt;=1,0-(WEEKDAY(DATE('⚙️ Configuración'!$C$9+1,5,1),2)-1)+1&lt;=DAY(EOMONTH(DATE('⚙️ Configuración'!$C$9+1,5,1),0))),0-(WEEKDAY(DATE('⚙️ Configuración'!$C$9+1,5,1),2)-1)+1,""),"")</f>
        <v/>
      </c>
      <c r="N4" s="68" t="str">
        <f>IFERROR(IF(AND(1-(WEEKDAY(DATE('⚙️ Configuración'!$C$9+1,5,1),2)-1)+1&gt;=1,1-(WEEKDAY(DATE('⚙️ Configuración'!$C$9+1,5,1),2)-1)+1&lt;=DAY(EOMONTH(DATE('⚙️ Configuración'!$C$9+1,5,1),0))),1-(WEEKDAY(DATE('⚙️ Configuración'!$C$9+1,5,1),2)-1)+1,""),"")</f>
        <v/>
      </c>
      <c r="O4" s="68" t="str">
        <f>IFERROR(IF(AND(2-(WEEKDAY(DATE('⚙️ Configuración'!$C$9+1,5,1),2)-1)+1&gt;=1,2-(WEEKDAY(DATE('⚙️ Configuración'!$C$9+1,5,1),2)-1)+1&lt;=DAY(EOMONTH(DATE('⚙️ Configuración'!$C$9+1,5,1),0))),2-(WEEKDAY(DATE('⚙️ Configuración'!$C$9+1,5,1),2)-1)+1,""),"")</f>
        <v/>
      </c>
      <c r="P4" s="68">
        <f>IFERROR(IF(AND(3-(WEEKDAY(DATE('⚙️ Configuración'!$C$9+1,5,1),2)-1)+1&gt;=1,3-(WEEKDAY(DATE('⚙️ Configuración'!$C$9+1,5,1),2)-1)+1&lt;=DAY(EOMONTH(DATE('⚙️ Configuración'!$C$9+1,5,1),0))),3-(WEEKDAY(DATE('⚙️ Configuración'!$C$9+1,5,1),2)-1)+1,""),"")</f>
        <v>1</v>
      </c>
      <c r="Q4" s="68">
        <f>IFERROR(IF(AND(4-(WEEKDAY(DATE('⚙️ Configuración'!$C$9+1,5,1),2)-1)+1&gt;=1,4-(WEEKDAY(DATE('⚙️ Configuración'!$C$9+1,5,1),2)-1)+1&lt;=DAY(EOMONTH(DATE('⚙️ Configuración'!$C$9+1,5,1),0))),4-(WEEKDAY(DATE('⚙️ Configuración'!$C$9+1,5,1),2)-1)+1,""),"")</f>
        <v>2</v>
      </c>
      <c r="R4" s="68">
        <f>IFERROR(IF(AND(5-(WEEKDAY(DATE('⚙️ Configuración'!$C$9+1,5,1),2)-1)+1&gt;=1,5-(WEEKDAY(DATE('⚙️ Configuración'!$C$9+1,5,1),2)-1)+1&lt;=DAY(EOMONTH(DATE('⚙️ Configuración'!$C$9+1,5,1),0))),5-(WEEKDAY(DATE('⚙️ Configuración'!$C$9+1,5,1),2)-1)+1,""),"")</f>
        <v>3</v>
      </c>
      <c r="S4" s="68">
        <f>IFERROR(IF(AND(6-(WEEKDAY(DATE('⚙️ Configuración'!$C$9+1,5,1),2)-1)+1&gt;=1,6-(WEEKDAY(DATE('⚙️ Configuración'!$C$9+1,5,1),2)-1)+1&lt;=DAY(EOMONTH(DATE('⚙️ Configuración'!$C$9+1,5,1),0))),6-(WEEKDAY(DATE('⚙️ Configuración'!$C$9+1,5,1),2)-1)+1,""),"")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Configuración'!$C$9+1,5,1),2)-1)+1&gt;=1,7-(WEEKDAY(DATE('⚙️ Configuración'!$C$9+1,5,1),2)-1)+1&lt;=DAY(EOMONTH(DATE('⚙️ Configuración'!$C$9+1,5,1),0))),7-(WEEKDAY(DATE('⚙️ Configuración'!$C$9+1,5,1),2)-1)+1,""),"")</f>
        <v>5</v>
      </c>
      <c r="N5" s="68">
        <f>IFERROR(IF(AND(8-(WEEKDAY(DATE('⚙️ Configuración'!$C$9+1,5,1),2)-1)+1&gt;=1,8-(WEEKDAY(DATE('⚙️ Configuración'!$C$9+1,5,1),2)-1)+1&lt;=DAY(EOMONTH(DATE('⚙️ Configuración'!$C$9+1,5,1),0))),8-(WEEKDAY(DATE('⚙️ Configuración'!$C$9+1,5,1),2)-1)+1,""),"")</f>
        <v>6</v>
      </c>
      <c r="O5" s="68">
        <f>IFERROR(IF(AND(9-(WEEKDAY(DATE('⚙️ Configuración'!$C$9+1,5,1),2)-1)+1&gt;=1,9-(WEEKDAY(DATE('⚙️ Configuración'!$C$9+1,5,1),2)-1)+1&lt;=DAY(EOMONTH(DATE('⚙️ Configuración'!$C$9+1,5,1),0))),9-(WEEKDAY(DATE('⚙️ Configuración'!$C$9+1,5,1),2)-1)+1,""),"")</f>
        <v>7</v>
      </c>
      <c r="P5" s="68">
        <f>IFERROR(IF(AND(10-(WEEKDAY(DATE('⚙️ Configuración'!$C$9+1,5,1),2)-1)+1&gt;=1,10-(WEEKDAY(DATE('⚙️ Configuración'!$C$9+1,5,1),2)-1)+1&lt;=DAY(EOMONTH(DATE('⚙️ Configuración'!$C$9+1,5,1),0))),10-(WEEKDAY(DATE('⚙️ Configuración'!$C$9+1,5,1),2)-1)+1,""),"")</f>
        <v>8</v>
      </c>
      <c r="Q5" s="68">
        <f>IFERROR(IF(AND(11-(WEEKDAY(DATE('⚙️ Configuración'!$C$9+1,5,1),2)-1)+1&gt;=1,11-(WEEKDAY(DATE('⚙️ Configuración'!$C$9+1,5,1),2)-1)+1&lt;=DAY(EOMONTH(DATE('⚙️ Configuración'!$C$9+1,5,1),0))),11-(WEEKDAY(DATE('⚙️ Configuración'!$C$9+1,5,1),2)-1)+1,""),"")</f>
        <v>9</v>
      </c>
      <c r="R5" s="68">
        <f>IFERROR(IF(AND(12-(WEEKDAY(DATE('⚙️ Configuración'!$C$9+1,5,1),2)-1)+1&gt;=1,12-(WEEKDAY(DATE('⚙️ Configuración'!$C$9+1,5,1),2)-1)+1&lt;=DAY(EOMONTH(DATE('⚙️ Configuración'!$C$9+1,5,1),0))),12-(WEEKDAY(DATE('⚙️ Configuración'!$C$9+1,5,1),2)-1)+1,""),"")</f>
        <v>10</v>
      </c>
      <c r="S5" s="68">
        <f>IFERROR(IF(AND(13-(WEEKDAY(DATE('⚙️ Configuración'!$C$9+1,5,1),2)-1)+1&gt;=1,13-(WEEKDAY(DATE('⚙️ Configuración'!$C$9+1,5,1),2)-1)+1&lt;=DAY(EOMONTH(DATE('⚙️ Configuración'!$C$9+1,5,1),0))),13-(WEEKDAY(DATE('⚙️ Configuración'!$C$9+1,5,1),2)-1)+1,""),"")</f>
        <v>11</v>
      </c>
      <c r="T5" s="6"/>
      <c r="U5" s="6"/>
      <c r="V5" s="16"/>
      <c r="W5" s="16"/>
      <c r="X5" s="16"/>
      <c r="Y5" s="28" t="s">
        <v>153</v>
      </c>
      <c r="Z5" s="67">
        <f t="shared" ref="Z5:AA5" si="2">E44</f>
        <v>0</v>
      </c>
      <c r="AA5" s="67">
        <f t="shared" si="2"/>
        <v>0</v>
      </c>
      <c r="AB5" s="16"/>
    </row>
    <row r="6" spans="1:28" ht="16.5" customHeight="1">
      <c r="A6" s="16"/>
      <c r="B6" s="153" t="str">
        <f>IF(SUM(F11:F52)=0,"📝  Mayo todavía no tiene datos. Empezá por la columna Real","✅  Mes cargado. Todos los cálculos se actualizan solos")</f>
        <v>📝  Mayo todavía no tiene datos. Empezá por la columna Real</v>
      </c>
      <c r="C6" s="88"/>
      <c r="D6" s="88"/>
      <c r="E6" s="88"/>
      <c r="F6" s="88"/>
      <c r="G6" s="88"/>
      <c r="H6" s="88"/>
      <c r="I6" s="16"/>
      <c r="J6" s="16"/>
      <c r="K6" s="12"/>
      <c r="L6" s="12"/>
      <c r="M6" s="68">
        <f>IFERROR(IF(AND(14-(WEEKDAY(DATE('⚙️ Configuración'!$C$9+1,5,1),2)-1)+1&gt;=1,14-(WEEKDAY(DATE('⚙️ Configuración'!$C$9+1,5,1),2)-1)+1&lt;=DAY(EOMONTH(DATE('⚙️ Configuración'!$C$9+1,5,1),0))),14-(WEEKDAY(DATE('⚙️ Configuración'!$C$9+1,5,1),2)-1)+1,""),"")</f>
        <v>12</v>
      </c>
      <c r="N6" s="68">
        <f>IFERROR(IF(AND(15-(WEEKDAY(DATE('⚙️ Configuración'!$C$9+1,5,1),2)-1)+1&gt;=1,15-(WEEKDAY(DATE('⚙️ Configuración'!$C$9+1,5,1),2)-1)+1&lt;=DAY(EOMONTH(DATE('⚙️ Configuración'!$C$9+1,5,1),0))),15-(WEEKDAY(DATE('⚙️ Configuración'!$C$9+1,5,1),2)-1)+1,""),"")</f>
        <v>13</v>
      </c>
      <c r="O6" s="68">
        <f>IFERROR(IF(AND(16-(WEEKDAY(DATE('⚙️ Configuración'!$C$9+1,5,1),2)-1)+1&gt;=1,16-(WEEKDAY(DATE('⚙️ Configuración'!$C$9+1,5,1),2)-1)+1&lt;=DAY(EOMONTH(DATE('⚙️ Configuración'!$C$9+1,5,1),0))),16-(WEEKDAY(DATE('⚙️ Configuración'!$C$9+1,5,1),2)-1)+1,""),"")</f>
        <v>14</v>
      </c>
      <c r="P6" s="68">
        <f>IFERROR(IF(AND(17-(WEEKDAY(DATE('⚙️ Configuración'!$C$9+1,5,1),2)-1)+1&gt;=1,17-(WEEKDAY(DATE('⚙️ Configuración'!$C$9+1,5,1),2)-1)+1&lt;=DAY(EOMONTH(DATE('⚙️ Configuración'!$C$9+1,5,1),0))),17-(WEEKDAY(DATE('⚙️ Configuración'!$C$9+1,5,1),2)-1)+1,""),"")</f>
        <v>15</v>
      </c>
      <c r="Q6" s="68">
        <f>IFERROR(IF(AND(18-(WEEKDAY(DATE('⚙️ Configuración'!$C$9+1,5,1),2)-1)+1&gt;=1,18-(WEEKDAY(DATE('⚙️ Configuración'!$C$9+1,5,1),2)-1)+1&lt;=DAY(EOMONTH(DATE('⚙️ Configuración'!$C$9+1,5,1),0))),18-(WEEKDAY(DATE('⚙️ Configuración'!$C$9+1,5,1),2)-1)+1,""),"")</f>
        <v>16</v>
      </c>
      <c r="R6" s="68">
        <f>IFERROR(IF(AND(19-(WEEKDAY(DATE('⚙️ Configuración'!$C$9+1,5,1),2)-1)+1&gt;=1,19-(WEEKDAY(DATE('⚙️ Configuración'!$C$9+1,5,1),2)-1)+1&lt;=DAY(EOMONTH(DATE('⚙️ Configuración'!$C$9+1,5,1),0))),19-(WEEKDAY(DATE('⚙️ Configuración'!$C$9+1,5,1),2)-1)+1,""),"")</f>
        <v>17</v>
      </c>
      <c r="S6" s="68">
        <f>IFERROR(IF(AND(20-(WEEKDAY(DATE('⚙️ Configuración'!$C$9+1,5,1),2)-1)+1&gt;=1,20-(WEEKDAY(DATE('⚙️ Configuración'!$C$9+1,5,1),2)-1)+1&lt;=DAY(EOMONTH(DATE('⚙️ Configuración'!$C$9+1,5,1),0))),20-(WEEKDAY(DATE('⚙️ Configuración'!$C$9+1,5,1),2)-1)+1,""),"")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Configuración'!$C$9+1,5,1),2)-1)+1&gt;=1,21-(WEEKDAY(DATE('⚙️ Configuración'!$C$9+1,5,1),2)-1)+1&lt;=DAY(EOMONTH(DATE('⚙️ Configuración'!$C$9+1,5,1),0))),21-(WEEKDAY(DATE('⚙️ Configuración'!$C$9+1,5,1),2)-1)+1,""),"")</f>
        <v>19</v>
      </c>
      <c r="N7" s="68">
        <f>IFERROR(IF(AND(22-(WEEKDAY(DATE('⚙️ Configuración'!$C$9+1,5,1),2)-1)+1&gt;=1,22-(WEEKDAY(DATE('⚙️ Configuración'!$C$9+1,5,1),2)-1)+1&lt;=DAY(EOMONTH(DATE('⚙️ Configuración'!$C$9+1,5,1),0))),22-(WEEKDAY(DATE('⚙️ Configuración'!$C$9+1,5,1),2)-1)+1,""),"")</f>
        <v>20</v>
      </c>
      <c r="O7" s="68">
        <f>IFERROR(IF(AND(23-(WEEKDAY(DATE('⚙️ Configuración'!$C$9+1,5,1),2)-1)+1&gt;=1,23-(WEEKDAY(DATE('⚙️ Configuración'!$C$9+1,5,1),2)-1)+1&lt;=DAY(EOMONTH(DATE('⚙️ Configuración'!$C$9+1,5,1),0))),23-(WEEKDAY(DATE('⚙️ Configuración'!$C$9+1,5,1),2)-1)+1,""),"")</f>
        <v>21</v>
      </c>
      <c r="P7" s="68">
        <f>IFERROR(IF(AND(24-(WEEKDAY(DATE('⚙️ Configuración'!$C$9+1,5,1),2)-1)+1&gt;=1,24-(WEEKDAY(DATE('⚙️ Configuración'!$C$9+1,5,1),2)-1)+1&lt;=DAY(EOMONTH(DATE('⚙️ Configuración'!$C$9+1,5,1),0))),24-(WEEKDAY(DATE('⚙️ Configuración'!$C$9+1,5,1),2)-1)+1,""),"")</f>
        <v>22</v>
      </c>
      <c r="Q7" s="68">
        <f>IFERROR(IF(AND(25-(WEEKDAY(DATE('⚙️ Configuración'!$C$9+1,5,1),2)-1)+1&gt;=1,25-(WEEKDAY(DATE('⚙️ Configuración'!$C$9+1,5,1),2)-1)+1&lt;=DAY(EOMONTH(DATE('⚙️ Configuración'!$C$9+1,5,1),0))),25-(WEEKDAY(DATE('⚙️ Configuración'!$C$9+1,5,1),2)-1)+1,""),"")</f>
        <v>23</v>
      </c>
      <c r="R7" s="68">
        <f>IFERROR(IF(AND(26-(WEEKDAY(DATE('⚙️ Configuración'!$C$9+1,5,1),2)-1)+1&gt;=1,26-(WEEKDAY(DATE('⚙️ Configuración'!$C$9+1,5,1),2)-1)+1&lt;=DAY(EOMONTH(DATE('⚙️ Configuración'!$C$9+1,5,1),0))),26-(WEEKDAY(DATE('⚙️ Configuración'!$C$9+1,5,1),2)-1)+1,""),"")</f>
        <v>24</v>
      </c>
      <c r="S7" s="68">
        <f>IFERROR(IF(AND(27-(WEEKDAY(DATE('⚙️ Configuración'!$C$9+1,5,1),2)-1)+1&gt;=1,27-(WEEKDAY(DATE('⚙️ Configuración'!$C$9+1,5,1),2)-1)+1&lt;=DAY(EOMONTH(DATE('⚙️ Configuración'!$C$9+1,5,1),0))),27-(WEEKDAY(DATE('⚙️ Configuración'!$C$9+1,5,1),2)-1)+1,""),"")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Configuración'!$C$9+1,5,1),2)-1)+1&gt;=1,28-(WEEKDAY(DATE('⚙️ Configuración'!$C$9+1,5,1),2)-1)+1&lt;=DAY(EOMONTH(DATE('⚙️ Configuración'!$C$9+1,5,1),0))),28-(WEEKDAY(DATE('⚙️ Configuración'!$C$9+1,5,1),2)-1)+1,""),"")</f>
        <v>26</v>
      </c>
      <c r="N8" s="68">
        <f>IFERROR(IF(AND(29-(WEEKDAY(DATE('⚙️ Configuración'!$C$9+1,5,1),2)-1)+1&gt;=1,29-(WEEKDAY(DATE('⚙️ Configuración'!$C$9+1,5,1),2)-1)+1&lt;=DAY(EOMONTH(DATE('⚙️ Configuración'!$C$9+1,5,1),0))),29-(WEEKDAY(DATE('⚙️ Configuración'!$C$9+1,5,1),2)-1)+1,""),"")</f>
        <v>27</v>
      </c>
      <c r="O8" s="68">
        <f>IFERROR(IF(AND(30-(WEEKDAY(DATE('⚙️ Configuración'!$C$9+1,5,1),2)-1)+1&gt;=1,30-(WEEKDAY(DATE('⚙️ Configuración'!$C$9+1,5,1),2)-1)+1&lt;=DAY(EOMONTH(DATE('⚙️ Configuración'!$C$9+1,5,1),0))),30-(WEEKDAY(DATE('⚙️ Configuración'!$C$9+1,5,1),2)-1)+1,""),"")</f>
        <v>28</v>
      </c>
      <c r="P8" s="68">
        <f>IFERROR(IF(AND(31-(WEEKDAY(DATE('⚙️ Configuración'!$C$9+1,5,1),2)-1)+1&gt;=1,31-(WEEKDAY(DATE('⚙️ Configuración'!$C$9+1,5,1),2)-1)+1&lt;=DAY(EOMONTH(DATE('⚙️ Configuración'!$C$9+1,5,1),0))),31-(WEEKDAY(DATE('⚙️ Configuración'!$C$9+1,5,1),2)-1)+1,""),"")</f>
        <v>29</v>
      </c>
      <c r="Q8" s="68">
        <f>IFERROR(IF(AND(32-(WEEKDAY(DATE('⚙️ Configuración'!$C$9+1,5,1),2)-1)+1&gt;=1,32-(WEEKDAY(DATE('⚙️ Configuración'!$C$9+1,5,1),2)-1)+1&lt;=DAY(EOMONTH(DATE('⚙️ Configuración'!$C$9+1,5,1),0))),32-(WEEKDAY(DATE('⚙️ Configuración'!$C$9+1,5,1),2)-1)+1,""),"")</f>
        <v>30</v>
      </c>
      <c r="R8" s="68">
        <f>IFERROR(IF(AND(33-(WEEKDAY(DATE('⚙️ Configuración'!$C$9+1,5,1),2)-1)+1&gt;=1,33-(WEEKDAY(DATE('⚙️ Configuración'!$C$9+1,5,1),2)-1)+1&lt;=DAY(EOMONTH(DATE('⚙️ Configuración'!$C$9+1,5,1),0))),33-(WEEKDAY(DATE('⚙️ Configuración'!$C$9+1,5,1),2)-1)+1,""),"")</f>
        <v>31</v>
      </c>
      <c r="S8" s="68" t="str">
        <f>IFERROR(IF(AND(34-(WEEKDAY(DATE('⚙️ Configuración'!$C$9+1,5,1),2)-1)+1&gt;=1,34-(WEEKDAY(DATE('⚙️ Configuración'!$C$9+1,5,1),2)-1)+1&lt;=DAY(EOMONTH(DATE('⚙️ Configuración'!$C$9+1,5,1),0))),34-(WEEKDAY(DATE('⚙️ Configuración'!$C$9+1,5,1),2)-1)+1,""),"")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Configuración'!$C$9+1,5,1),2)-1)+1&gt;=1,35-(WEEKDAY(DATE('⚙️ Configuración'!$C$9+1,5,1),2)-1)+1&lt;=DAY(EOMONTH(DATE('⚙️ Configuración'!$C$9+1,5,1),0))),35-(WEEKDAY(DATE('⚙️ Configuración'!$C$9+1,5,1),2)-1)+1,""),"")</f>
        <v/>
      </c>
      <c r="N9" s="68" t="str">
        <f>IFERROR(IF(AND(36-(WEEKDAY(DATE('⚙️ Configuración'!$C$9+1,5,1),2)-1)+1&gt;=1,36-(WEEKDAY(DATE('⚙️ Configuración'!$C$9+1,5,1),2)-1)+1&lt;=DAY(EOMONTH(DATE('⚙️ Configuración'!$C$9+1,5,1),0))),36-(WEEKDAY(DATE('⚙️ Configuración'!$C$9+1,5,1),2)-1)+1,""),"")</f>
        <v/>
      </c>
      <c r="O9" s="68" t="str">
        <f>IFERROR(IF(AND(37-(WEEKDAY(DATE('⚙️ Configuración'!$C$9+1,5,1),2)-1)+1&gt;=1,37-(WEEKDAY(DATE('⚙️ Configuración'!$C$9+1,5,1),2)-1)+1&lt;=DAY(EOMONTH(DATE('⚙️ Configuración'!$C$9+1,5,1),0))),37-(WEEKDAY(DATE('⚙️ Configuración'!$C$9+1,5,1),2)-1)+1,""),"")</f>
        <v/>
      </c>
      <c r="P9" s="68" t="str">
        <f>IFERROR(IF(AND(38-(WEEKDAY(DATE('⚙️ Configuración'!$C$9+1,5,1),2)-1)+1&gt;=1,38-(WEEKDAY(DATE('⚙️ Configuración'!$C$9+1,5,1),2)-1)+1&lt;=DAY(EOMONTH(DATE('⚙️ Configuración'!$C$9+1,5,1),0))),38-(WEEKDAY(DATE('⚙️ Configuración'!$C$9+1,5,1),2)-1)+1,""),"")</f>
        <v/>
      </c>
      <c r="Q9" s="68" t="str">
        <f>IFERROR(IF(AND(39-(WEEKDAY(DATE('⚙️ Configuración'!$C$9+1,5,1),2)-1)+1&gt;=1,39-(WEEKDAY(DATE('⚙️ Configuración'!$C$9+1,5,1),2)-1)+1&lt;=DAY(EOMONTH(DATE('⚙️ Configuración'!$C$9+1,5,1),0))),39-(WEEKDAY(DATE('⚙️ Configuración'!$C$9+1,5,1),2)-1)+1,""),"")</f>
        <v/>
      </c>
      <c r="R9" s="68" t="str">
        <f>IFERROR(IF(AND(40-(WEEKDAY(DATE('⚙️ Configuración'!$C$9+1,5,1),2)-1)+1&gt;=1,40-(WEEKDAY(DATE('⚙️ Configuración'!$C$9+1,5,1),2)-1)+1&lt;=DAY(EOMONTH(DATE('⚙️ Configuración'!$C$9+1,5,1),0))),40-(WEEKDAY(DATE('⚙️ Configuración'!$C$9+1,5,1),2)-1)+1,""),"")</f>
        <v/>
      </c>
      <c r="S9" s="68" t="str">
        <f>IFERROR(IF(AND(41-(WEEKDAY(DATE('⚙️ Configuración'!$C$9+1,5,1),2)-1)+1&gt;=1,41-(WEEKDAY(DATE('⚙️ Configuración'!$C$9+1,5,1),2)-1)+1&lt;=DAY(EOMONTH(DATE('⚙️ Configuración'!$C$9+1,5,1),0))),41-(WEEKDAY(DATE('⚙️ Configuración'!$C$9+1,5,1),2)-1)+1,""),"")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JUNIO</t>
        </is>
      </c>
      <c r="C2" s="88"/>
      <c r="D2" s="88"/>
      <c r="E2" s="62">
        <f>'⚙️ Configuración'!C9+1</f>
        <v>2026</v>
      </c>
      <c r="F2" s="16"/>
      <c r="G2" s="16"/>
      <c r="H2" s="63" t="s">
        <v>216</v>
      </c>
      <c r="I2" s="16"/>
      <c r="J2" s="16"/>
      <c r="K2" s="12"/>
      <c r="L2" s="12"/>
      <c r="M2" s="144" t="inlineStr">
        <is>
          <t>JUNIO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Configuración'!$C$9+1,6,1),2)-1)+1&gt;=1,0-(WEEKDAY(DATE('⚙️ Configuración'!$C$9+1,6,1),2)-1)+1&lt;=DAY(EOMONTH(DATE('⚙️ Configuración'!$C$9+1,6,1),0))),0-(WEEKDAY(DATE('⚙️ Configuración'!$C$9+1,6,1),2)-1)+1,""),"")</f>
        <v/>
      </c>
      <c r="N4" s="68" t="str">
        <f>IFERROR(IF(AND(1-(WEEKDAY(DATE('⚙️ Configuración'!$C$9+1,6,1),2)-1)+1&gt;=1,1-(WEEKDAY(DATE('⚙️ Configuración'!$C$9+1,6,1),2)-1)+1&lt;=DAY(EOMONTH(DATE('⚙️ Configuración'!$C$9+1,6,1),0))),1-(WEEKDAY(DATE('⚙️ Configuración'!$C$9+1,6,1),2)-1)+1,""),"")</f>
        <v/>
      </c>
      <c r="O4" s="68" t="str">
        <f>IFERROR(IF(AND(2-(WEEKDAY(DATE('⚙️ Configuración'!$C$9+1,6,1),2)-1)+1&gt;=1,2-(WEEKDAY(DATE('⚙️ Configuración'!$C$9+1,6,1),2)-1)+1&lt;=DAY(EOMONTH(DATE('⚙️ Configuración'!$C$9+1,6,1),0))),2-(WEEKDAY(DATE('⚙️ Configuración'!$C$9+1,6,1),2)-1)+1,""),"")</f>
        <v/>
      </c>
      <c r="P4" s="68">
        <f>IFERROR(IF(AND(3-(WEEKDAY(DATE('⚙️ Configuración'!$C$9+1,6,1),2)-1)+1&gt;=1,3-(WEEKDAY(DATE('⚙️ Configuración'!$C$9+1,6,1),2)-1)+1&lt;=DAY(EOMONTH(DATE('⚙️ Configuración'!$C$9+1,6,1),0))),3-(WEEKDAY(DATE('⚙️ Configuración'!$C$9+1,6,1),2)-1)+1,""),"")</f>
        <v>1</v>
      </c>
      <c r="Q4" s="68">
        <f>IFERROR(IF(AND(4-(WEEKDAY(DATE('⚙️ Configuración'!$C$9+1,6,1),2)-1)+1&gt;=1,4-(WEEKDAY(DATE('⚙️ Configuración'!$C$9+1,6,1),2)-1)+1&lt;=DAY(EOMONTH(DATE('⚙️ Configuración'!$C$9+1,6,1),0))),4-(WEEKDAY(DATE('⚙️ Configuración'!$C$9+1,6,1),2)-1)+1,""),"")</f>
        <v>2</v>
      </c>
      <c r="R4" s="68">
        <f>IFERROR(IF(AND(5-(WEEKDAY(DATE('⚙️ Configuración'!$C$9+1,6,1),2)-1)+1&gt;=1,5-(WEEKDAY(DATE('⚙️ Configuración'!$C$9+1,6,1),2)-1)+1&lt;=DAY(EOMONTH(DATE('⚙️ Configuración'!$C$9+1,6,1),0))),5-(WEEKDAY(DATE('⚙️ Configuración'!$C$9+1,6,1),2)-1)+1,""),"")</f>
        <v>3</v>
      </c>
      <c r="S4" s="68">
        <f>IFERROR(IF(AND(6-(WEEKDAY(DATE('⚙️ Configuración'!$C$9+1,6,1),2)-1)+1&gt;=1,6-(WEEKDAY(DATE('⚙️ Configuración'!$C$9+1,6,1),2)-1)+1&lt;=DAY(EOMONTH(DATE('⚙️ Configuración'!$C$9+1,6,1),0))),6-(WEEKDAY(DATE('⚙️ Configuración'!$C$9+1,6,1),2)-1)+1,""),"")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Configuración'!$C$9+1,6,1),2)-1)+1&gt;=1,7-(WEEKDAY(DATE('⚙️ Configuración'!$C$9+1,6,1),2)-1)+1&lt;=DAY(EOMONTH(DATE('⚙️ Configuración'!$C$9+1,6,1),0))),7-(WEEKDAY(DATE('⚙️ Configuración'!$C$9+1,6,1),2)-1)+1,""),"")</f>
        <v>5</v>
      </c>
      <c r="N5" s="68">
        <f>IFERROR(IF(AND(8-(WEEKDAY(DATE('⚙️ Configuración'!$C$9+1,6,1),2)-1)+1&gt;=1,8-(WEEKDAY(DATE('⚙️ Configuración'!$C$9+1,6,1),2)-1)+1&lt;=DAY(EOMONTH(DATE('⚙️ Configuración'!$C$9+1,6,1),0))),8-(WEEKDAY(DATE('⚙️ Configuración'!$C$9+1,6,1),2)-1)+1,""),"")</f>
        <v>6</v>
      </c>
      <c r="O5" s="68">
        <f>IFERROR(IF(AND(9-(WEEKDAY(DATE('⚙️ Configuración'!$C$9+1,6,1),2)-1)+1&gt;=1,9-(WEEKDAY(DATE('⚙️ Configuración'!$C$9+1,6,1),2)-1)+1&lt;=DAY(EOMONTH(DATE('⚙️ Configuración'!$C$9+1,6,1),0))),9-(WEEKDAY(DATE('⚙️ Configuración'!$C$9+1,6,1),2)-1)+1,""),"")</f>
        <v>7</v>
      </c>
      <c r="P5" s="68">
        <f>IFERROR(IF(AND(10-(WEEKDAY(DATE('⚙️ Configuración'!$C$9+1,6,1),2)-1)+1&gt;=1,10-(WEEKDAY(DATE('⚙️ Configuración'!$C$9+1,6,1),2)-1)+1&lt;=DAY(EOMONTH(DATE('⚙️ Configuración'!$C$9+1,6,1),0))),10-(WEEKDAY(DATE('⚙️ Configuración'!$C$9+1,6,1),2)-1)+1,""),"")</f>
        <v>8</v>
      </c>
      <c r="Q5" s="68">
        <f>IFERROR(IF(AND(11-(WEEKDAY(DATE('⚙️ Configuración'!$C$9+1,6,1),2)-1)+1&gt;=1,11-(WEEKDAY(DATE('⚙️ Configuración'!$C$9+1,6,1),2)-1)+1&lt;=DAY(EOMONTH(DATE('⚙️ Configuración'!$C$9+1,6,1),0))),11-(WEEKDAY(DATE('⚙️ Configuración'!$C$9+1,6,1),2)-1)+1,""),"")</f>
        <v>9</v>
      </c>
      <c r="R5" s="68">
        <f>IFERROR(IF(AND(12-(WEEKDAY(DATE('⚙️ Configuración'!$C$9+1,6,1),2)-1)+1&gt;=1,12-(WEEKDAY(DATE('⚙️ Configuración'!$C$9+1,6,1),2)-1)+1&lt;=DAY(EOMONTH(DATE('⚙️ Configuración'!$C$9+1,6,1),0))),12-(WEEKDAY(DATE('⚙️ Configuración'!$C$9+1,6,1),2)-1)+1,""),"")</f>
        <v>10</v>
      </c>
      <c r="S5" s="68">
        <f>IFERROR(IF(AND(13-(WEEKDAY(DATE('⚙️ Configuración'!$C$9+1,6,1),2)-1)+1&gt;=1,13-(WEEKDAY(DATE('⚙️ Configuración'!$C$9+1,6,1),2)-1)+1&lt;=DAY(EOMONTH(DATE('⚙️ Configuración'!$C$9+1,6,1),0))),13-(WEEKDAY(DATE('⚙️ Configuración'!$C$9+1,6,1),2)-1)+1,""),"")</f>
        <v>11</v>
      </c>
      <c r="T5" s="6"/>
      <c r="U5" s="6"/>
      <c r="V5" s="16"/>
      <c r="W5" s="16"/>
      <c r="X5" s="16"/>
      <c r="Y5" s="28" t="s">
        <v>153</v>
      </c>
      <c r="Z5" s="67">
        <f t="shared" ref="Z5:AA5" si="2">E44</f>
        <v>0</v>
      </c>
      <c r="AA5" s="67">
        <f t="shared" si="2"/>
        <v>0</v>
      </c>
      <c r="AB5" s="16"/>
    </row>
    <row r="6" spans="1:28" ht="16.5" customHeight="1">
      <c r="A6" s="16"/>
      <c r="B6" s="153" t="str">
        <f>IF(SUM(F11:F52)=0,"📝  Junio todavía no tiene datos. Empezá por la columna Real","✅  Mes cargado. Todos los cálculos se actualizan solos")</f>
        <v>📝  Junio todavía no tiene datos. Empezá por la columna Real</v>
      </c>
      <c r="C6" s="88"/>
      <c r="D6" s="88"/>
      <c r="E6" s="88"/>
      <c r="F6" s="88"/>
      <c r="G6" s="88"/>
      <c r="H6" s="88"/>
      <c r="I6" s="16"/>
      <c r="J6" s="16"/>
      <c r="K6" s="12"/>
      <c r="L6" s="12"/>
      <c r="M6" s="68">
        <f>IFERROR(IF(AND(14-(WEEKDAY(DATE('⚙️ Configuración'!$C$9+1,6,1),2)-1)+1&gt;=1,14-(WEEKDAY(DATE('⚙️ Configuración'!$C$9+1,6,1),2)-1)+1&lt;=DAY(EOMONTH(DATE('⚙️ Configuración'!$C$9+1,6,1),0))),14-(WEEKDAY(DATE('⚙️ Configuración'!$C$9+1,6,1),2)-1)+1,""),"")</f>
        <v>12</v>
      </c>
      <c r="N6" s="68">
        <f>IFERROR(IF(AND(15-(WEEKDAY(DATE('⚙️ Configuración'!$C$9+1,6,1),2)-1)+1&gt;=1,15-(WEEKDAY(DATE('⚙️ Configuración'!$C$9+1,6,1),2)-1)+1&lt;=DAY(EOMONTH(DATE('⚙️ Configuración'!$C$9+1,6,1),0))),15-(WEEKDAY(DATE('⚙️ Configuración'!$C$9+1,6,1),2)-1)+1,""),"")</f>
        <v>13</v>
      </c>
      <c r="O6" s="68">
        <f>IFERROR(IF(AND(16-(WEEKDAY(DATE('⚙️ Configuración'!$C$9+1,6,1),2)-1)+1&gt;=1,16-(WEEKDAY(DATE('⚙️ Configuración'!$C$9+1,6,1),2)-1)+1&lt;=DAY(EOMONTH(DATE('⚙️ Configuración'!$C$9+1,6,1),0))),16-(WEEKDAY(DATE('⚙️ Configuración'!$C$9+1,6,1),2)-1)+1,""),"")</f>
        <v>14</v>
      </c>
      <c r="P6" s="68">
        <f>IFERROR(IF(AND(17-(WEEKDAY(DATE('⚙️ Configuración'!$C$9+1,6,1),2)-1)+1&gt;=1,17-(WEEKDAY(DATE('⚙️ Configuración'!$C$9+1,6,1),2)-1)+1&lt;=DAY(EOMONTH(DATE('⚙️ Configuración'!$C$9+1,6,1),0))),17-(WEEKDAY(DATE('⚙️ Configuración'!$C$9+1,6,1),2)-1)+1,""),"")</f>
        <v>15</v>
      </c>
      <c r="Q6" s="68">
        <f>IFERROR(IF(AND(18-(WEEKDAY(DATE('⚙️ Configuración'!$C$9+1,6,1),2)-1)+1&gt;=1,18-(WEEKDAY(DATE('⚙️ Configuración'!$C$9+1,6,1),2)-1)+1&lt;=DAY(EOMONTH(DATE('⚙️ Configuración'!$C$9+1,6,1),0))),18-(WEEKDAY(DATE('⚙️ Configuración'!$C$9+1,6,1),2)-1)+1,""),"")</f>
        <v>16</v>
      </c>
      <c r="R6" s="68">
        <f>IFERROR(IF(AND(19-(WEEKDAY(DATE('⚙️ Configuración'!$C$9+1,6,1),2)-1)+1&gt;=1,19-(WEEKDAY(DATE('⚙️ Configuración'!$C$9+1,6,1),2)-1)+1&lt;=DAY(EOMONTH(DATE('⚙️ Configuración'!$C$9+1,6,1),0))),19-(WEEKDAY(DATE('⚙️ Configuración'!$C$9+1,6,1),2)-1)+1,""),"")</f>
        <v>17</v>
      </c>
      <c r="S6" s="68">
        <f>IFERROR(IF(AND(20-(WEEKDAY(DATE('⚙️ Configuración'!$C$9+1,6,1),2)-1)+1&gt;=1,20-(WEEKDAY(DATE('⚙️ Configuración'!$C$9+1,6,1),2)-1)+1&lt;=DAY(EOMONTH(DATE('⚙️ Configuración'!$C$9+1,6,1),0))),20-(WEEKDAY(DATE('⚙️ Configuración'!$C$9+1,6,1),2)-1)+1,""),"")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Configuración'!$C$9+1,6,1),2)-1)+1&gt;=1,21-(WEEKDAY(DATE('⚙️ Configuración'!$C$9+1,6,1),2)-1)+1&lt;=DAY(EOMONTH(DATE('⚙️ Configuración'!$C$9+1,6,1),0))),21-(WEEKDAY(DATE('⚙️ Configuración'!$C$9+1,6,1),2)-1)+1,""),"")</f>
        <v>19</v>
      </c>
      <c r="N7" s="68">
        <f>IFERROR(IF(AND(22-(WEEKDAY(DATE('⚙️ Configuración'!$C$9+1,6,1),2)-1)+1&gt;=1,22-(WEEKDAY(DATE('⚙️ Configuración'!$C$9+1,6,1),2)-1)+1&lt;=DAY(EOMONTH(DATE('⚙️ Configuración'!$C$9+1,6,1),0))),22-(WEEKDAY(DATE('⚙️ Configuración'!$C$9+1,6,1),2)-1)+1,""),"")</f>
        <v>20</v>
      </c>
      <c r="O7" s="68">
        <f>IFERROR(IF(AND(23-(WEEKDAY(DATE('⚙️ Configuración'!$C$9+1,6,1),2)-1)+1&gt;=1,23-(WEEKDAY(DATE('⚙️ Configuración'!$C$9+1,6,1),2)-1)+1&lt;=DAY(EOMONTH(DATE('⚙️ Configuración'!$C$9+1,6,1),0))),23-(WEEKDAY(DATE('⚙️ Configuración'!$C$9+1,6,1),2)-1)+1,""),"")</f>
        <v>21</v>
      </c>
      <c r="P7" s="68">
        <f>IFERROR(IF(AND(24-(WEEKDAY(DATE('⚙️ Configuración'!$C$9+1,6,1),2)-1)+1&gt;=1,24-(WEEKDAY(DATE('⚙️ Configuración'!$C$9+1,6,1),2)-1)+1&lt;=DAY(EOMONTH(DATE('⚙️ Configuración'!$C$9+1,6,1),0))),24-(WEEKDAY(DATE('⚙️ Configuración'!$C$9+1,6,1),2)-1)+1,""),"")</f>
        <v>22</v>
      </c>
      <c r="Q7" s="68">
        <f>IFERROR(IF(AND(25-(WEEKDAY(DATE('⚙️ Configuración'!$C$9+1,6,1),2)-1)+1&gt;=1,25-(WEEKDAY(DATE('⚙️ Configuración'!$C$9+1,6,1),2)-1)+1&lt;=DAY(EOMONTH(DATE('⚙️ Configuración'!$C$9+1,6,1),0))),25-(WEEKDAY(DATE('⚙️ Configuración'!$C$9+1,6,1),2)-1)+1,""),"")</f>
        <v>23</v>
      </c>
      <c r="R7" s="68">
        <f>IFERROR(IF(AND(26-(WEEKDAY(DATE('⚙️ Configuración'!$C$9+1,6,1),2)-1)+1&gt;=1,26-(WEEKDAY(DATE('⚙️ Configuración'!$C$9+1,6,1),2)-1)+1&lt;=DAY(EOMONTH(DATE('⚙️ Configuración'!$C$9+1,6,1),0))),26-(WEEKDAY(DATE('⚙️ Configuración'!$C$9+1,6,1),2)-1)+1,""),"")</f>
        <v>24</v>
      </c>
      <c r="S7" s="68">
        <f>IFERROR(IF(AND(27-(WEEKDAY(DATE('⚙️ Configuración'!$C$9+1,6,1),2)-1)+1&gt;=1,27-(WEEKDAY(DATE('⚙️ Configuración'!$C$9+1,6,1),2)-1)+1&lt;=DAY(EOMONTH(DATE('⚙️ Configuración'!$C$9+1,6,1),0))),27-(WEEKDAY(DATE('⚙️ Configuración'!$C$9+1,6,1),2)-1)+1,""),"")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Configuración'!$C$9+1,6,1),2)-1)+1&gt;=1,28-(WEEKDAY(DATE('⚙️ Configuración'!$C$9+1,6,1),2)-1)+1&lt;=DAY(EOMONTH(DATE('⚙️ Configuración'!$C$9+1,6,1),0))),28-(WEEKDAY(DATE('⚙️ Configuración'!$C$9+1,6,1),2)-1)+1,""),"")</f>
        <v>26</v>
      </c>
      <c r="N8" s="68">
        <f>IFERROR(IF(AND(29-(WEEKDAY(DATE('⚙️ Configuración'!$C$9+1,6,1),2)-1)+1&gt;=1,29-(WEEKDAY(DATE('⚙️ Configuración'!$C$9+1,6,1),2)-1)+1&lt;=DAY(EOMONTH(DATE('⚙️ Configuración'!$C$9+1,6,1),0))),29-(WEEKDAY(DATE('⚙️ Configuración'!$C$9+1,6,1),2)-1)+1,""),"")</f>
        <v>27</v>
      </c>
      <c r="O8" s="68">
        <f>IFERROR(IF(AND(30-(WEEKDAY(DATE('⚙️ Configuración'!$C$9+1,6,1),2)-1)+1&gt;=1,30-(WEEKDAY(DATE('⚙️ Configuración'!$C$9+1,6,1),2)-1)+1&lt;=DAY(EOMONTH(DATE('⚙️ Configuración'!$C$9+1,6,1),0))),30-(WEEKDAY(DATE('⚙️ Configuración'!$C$9+1,6,1),2)-1)+1,""),"")</f>
        <v>28</v>
      </c>
      <c r="P8" s="68">
        <f>IFERROR(IF(AND(31-(WEEKDAY(DATE('⚙️ Configuración'!$C$9+1,6,1),2)-1)+1&gt;=1,31-(WEEKDAY(DATE('⚙️ Configuración'!$C$9+1,6,1),2)-1)+1&lt;=DAY(EOMONTH(DATE('⚙️ Configuración'!$C$9+1,6,1),0))),31-(WEEKDAY(DATE('⚙️ Configuración'!$C$9+1,6,1),2)-1)+1,""),"")</f>
        <v>29</v>
      </c>
      <c r="Q8" s="68">
        <f>IFERROR(IF(AND(32-(WEEKDAY(DATE('⚙️ Configuración'!$C$9+1,6,1),2)-1)+1&gt;=1,32-(WEEKDAY(DATE('⚙️ Configuración'!$C$9+1,6,1),2)-1)+1&lt;=DAY(EOMONTH(DATE('⚙️ Configuración'!$C$9+1,6,1),0))),32-(WEEKDAY(DATE('⚙️ Configuración'!$C$9+1,6,1),2)-1)+1,""),"")</f>
        <v>30</v>
      </c>
      <c r="R8" s="68">
        <f>IFERROR(IF(AND(33-(WEEKDAY(DATE('⚙️ Configuración'!$C$9+1,6,1),2)-1)+1&gt;=1,33-(WEEKDAY(DATE('⚙️ Configuración'!$C$9+1,6,1),2)-1)+1&lt;=DAY(EOMONTH(DATE('⚙️ Configuración'!$C$9+1,6,1),0))),33-(WEEKDAY(DATE('⚙️ Configuración'!$C$9+1,6,1),2)-1)+1,""),"")</f>
        <v>31</v>
      </c>
      <c r="S8" s="68" t="str">
        <f>IFERROR(IF(AND(34-(WEEKDAY(DATE('⚙️ Configuración'!$C$9+1,6,1),2)-1)+1&gt;=1,34-(WEEKDAY(DATE('⚙️ Configuración'!$C$9+1,6,1),2)-1)+1&lt;=DAY(EOMONTH(DATE('⚙️ Configuración'!$C$9+1,6,1),0))),34-(WEEKDAY(DATE('⚙️ Configuración'!$C$9+1,6,1),2)-1)+1,""),"")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Configuración'!$C$9+1,6,1),2)-1)+1&gt;=1,35-(WEEKDAY(DATE('⚙️ Configuración'!$C$9+1,6,1),2)-1)+1&lt;=DAY(EOMONTH(DATE('⚙️ Configuración'!$C$9+1,6,1),0))),35-(WEEKDAY(DATE('⚙️ Configuración'!$C$9+1,6,1),2)-1)+1,""),"")</f>
        <v/>
      </c>
      <c r="N9" s="68" t="str">
        <f>IFERROR(IF(AND(36-(WEEKDAY(DATE('⚙️ Configuración'!$C$9+1,6,1),2)-1)+1&gt;=1,36-(WEEKDAY(DATE('⚙️ Configuración'!$C$9+1,6,1),2)-1)+1&lt;=DAY(EOMONTH(DATE('⚙️ Configuración'!$C$9+1,6,1),0))),36-(WEEKDAY(DATE('⚙️ Configuración'!$C$9+1,6,1),2)-1)+1,""),"")</f>
        <v/>
      </c>
      <c r="O9" s="68" t="str">
        <f>IFERROR(IF(AND(37-(WEEKDAY(DATE('⚙️ Configuración'!$C$9+1,6,1),2)-1)+1&gt;=1,37-(WEEKDAY(DATE('⚙️ Configuración'!$C$9+1,6,1),2)-1)+1&lt;=DAY(EOMONTH(DATE('⚙️ Configuración'!$C$9+1,6,1),0))),37-(WEEKDAY(DATE('⚙️ Configuración'!$C$9+1,6,1),2)-1)+1,""),"")</f>
        <v/>
      </c>
      <c r="P9" s="68" t="str">
        <f>IFERROR(IF(AND(38-(WEEKDAY(DATE('⚙️ Configuración'!$C$9+1,6,1),2)-1)+1&gt;=1,38-(WEEKDAY(DATE('⚙️ Configuración'!$C$9+1,6,1),2)-1)+1&lt;=DAY(EOMONTH(DATE('⚙️ Configuración'!$C$9+1,6,1),0))),38-(WEEKDAY(DATE('⚙️ Configuración'!$C$9+1,6,1),2)-1)+1,""),"")</f>
        <v/>
      </c>
      <c r="Q9" s="68" t="str">
        <f>IFERROR(IF(AND(39-(WEEKDAY(DATE('⚙️ Configuración'!$C$9+1,6,1),2)-1)+1&gt;=1,39-(WEEKDAY(DATE('⚙️ Configuración'!$C$9+1,6,1),2)-1)+1&lt;=DAY(EOMONTH(DATE('⚙️ Configuración'!$C$9+1,6,1),0))),39-(WEEKDAY(DATE('⚙️ Configuración'!$C$9+1,6,1),2)-1)+1,""),"")</f>
        <v/>
      </c>
      <c r="R9" s="68" t="str">
        <f>IFERROR(IF(AND(40-(WEEKDAY(DATE('⚙️ Configuración'!$C$9+1,6,1),2)-1)+1&gt;=1,40-(WEEKDAY(DATE('⚙️ Configuración'!$C$9+1,6,1),2)-1)+1&lt;=DAY(EOMONTH(DATE('⚙️ Configuración'!$C$9+1,6,1),0))),40-(WEEKDAY(DATE('⚙️ Configuración'!$C$9+1,6,1),2)-1)+1,""),"")</f>
        <v/>
      </c>
      <c r="S9" s="68" t="str">
        <f>IFERROR(IF(AND(41-(WEEKDAY(DATE('⚙️ Configuración'!$C$9+1,6,1),2)-1)+1&gt;=1,41-(WEEKDAY(DATE('⚙️ Configuración'!$C$9+1,6,1),2)-1)+1&lt;=DAY(EOMONTH(DATE('⚙️ Configuración'!$C$9+1,6,1),0))),41-(WEEKDAY(DATE('⚙️ Configuración'!$C$9+1,6,1),2)-1)+1,""),"")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JULIO</t>
        </is>
      </c>
      <c r="C2" s="88"/>
      <c r="D2" s="88"/>
      <c r="E2" s="62">
        <f>'⚙️ Configuración'!C9+1</f>
        <v>2026</v>
      </c>
      <c r="F2" s="16"/>
      <c r="G2" s="16"/>
      <c r="H2" s="63" t="s">
        <v>216</v>
      </c>
      <c r="I2" s="16"/>
      <c r="J2" s="16"/>
      <c r="K2" s="12"/>
      <c r="L2" s="12"/>
      <c r="M2" s="144" t="inlineStr">
        <is>
          <t>JULIO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Configuración'!$C$9+1,7,1),2)-1)+1&gt;=1,0-(WEEKDAY(DATE('⚙️ Configuración'!$C$9+1,7,1),2)-1)+1&lt;=DAY(EOMONTH(DATE('⚙️ Configuración'!$C$9+1,7,1),0))),0-(WEEKDAY(DATE('⚙️ Configuración'!$C$9+1,7,1),2)-1)+1,""),"")</f>
        <v/>
      </c>
      <c r="N4" s="68" t="str">
        <f>IFERROR(IF(AND(1-(WEEKDAY(DATE('⚙️ Configuración'!$C$9+1,7,1),2)-1)+1&gt;=1,1-(WEEKDAY(DATE('⚙️ Configuración'!$C$9+1,7,1),2)-1)+1&lt;=DAY(EOMONTH(DATE('⚙️ Configuración'!$C$9+1,7,1),0))),1-(WEEKDAY(DATE('⚙️ Configuración'!$C$9+1,7,1),2)-1)+1,""),"")</f>
        <v/>
      </c>
      <c r="O4" s="68" t="str">
        <f>IFERROR(IF(AND(2-(WEEKDAY(DATE('⚙️ Configuración'!$C$9+1,7,1),2)-1)+1&gt;=1,2-(WEEKDAY(DATE('⚙️ Configuración'!$C$9+1,7,1),2)-1)+1&lt;=DAY(EOMONTH(DATE('⚙️ Configuración'!$C$9+1,7,1),0))),2-(WEEKDAY(DATE('⚙️ Configuración'!$C$9+1,7,1),2)-1)+1,""),"")</f>
        <v/>
      </c>
      <c r="P4" s="68">
        <f>IFERROR(IF(AND(3-(WEEKDAY(DATE('⚙️ Configuración'!$C$9+1,7,1),2)-1)+1&gt;=1,3-(WEEKDAY(DATE('⚙️ Configuración'!$C$9+1,7,1),2)-1)+1&lt;=DAY(EOMONTH(DATE('⚙️ Configuración'!$C$9+1,7,1),0))),3-(WEEKDAY(DATE('⚙️ Configuración'!$C$9+1,7,1),2)-1)+1,""),"")</f>
        <v>1</v>
      </c>
      <c r="Q4" s="68">
        <f>IFERROR(IF(AND(4-(WEEKDAY(DATE('⚙️ Configuración'!$C$9+1,7,1),2)-1)+1&gt;=1,4-(WEEKDAY(DATE('⚙️ Configuración'!$C$9+1,7,1),2)-1)+1&lt;=DAY(EOMONTH(DATE('⚙️ Configuración'!$C$9+1,7,1),0))),4-(WEEKDAY(DATE('⚙️ Configuración'!$C$9+1,7,1),2)-1)+1,""),"")</f>
        <v>2</v>
      </c>
      <c r="R4" s="68">
        <f>IFERROR(IF(AND(5-(WEEKDAY(DATE('⚙️ Configuración'!$C$9+1,7,1),2)-1)+1&gt;=1,5-(WEEKDAY(DATE('⚙️ Configuración'!$C$9+1,7,1),2)-1)+1&lt;=DAY(EOMONTH(DATE('⚙️ Configuración'!$C$9+1,7,1),0))),5-(WEEKDAY(DATE('⚙️ Configuración'!$C$9+1,7,1),2)-1)+1,""),"")</f>
        <v>3</v>
      </c>
      <c r="S4" s="68">
        <f>IFERROR(IF(AND(6-(WEEKDAY(DATE('⚙️ Configuración'!$C$9+1,7,1),2)-1)+1&gt;=1,6-(WEEKDAY(DATE('⚙️ Configuración'!$C$9+1,7,1),2)-1)+1&lt;=DAY(EOMONTH(DATE('⚙️ Configuración'!$C$9+1,7,1),0))),6-(WEEKDAY(DATE('⚙️ Configuración'!$C$9+1,7,1),2)-1)+1,""),"")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Configuración'!$C$9+1,7,1),2)-1)+1&gt;=1,7-(WEEKDAY(DATE('⚙️ Configuración'!$C$9+1,7,1),2)-1)+1&lt;=DAY(EOMONTH(DATE('⚙️ Configuración'!$C$9+1,7,1),0))),7-(WEEKDAY(DATE('⚙️ Configuración'!$C$9+1,7,1),2)-1)+1,""),"")</f>
        <v>5</v>
      </c>
      <c r="N5" s="68">
        <f>IFERROR(IF(AND(8-(WEEKDAY(DATE('⚙️ Configuración'!$C$9+1,7,1),2)-1)+1&gt;=1,8-(WEEKDAY(DATE('⚙️ Configuración'!$C$9+1,7,1),2)-1)+1&lt;=DAY(EOMONTH(DATE('⚙️ Configuración'!$C$9+1,7,1),0))),8-(WEEKDAY(DATE('⚙️ Configuración'!$C$9+1,7,1),2)-1)+1,""),"")</f>
        <v>6</v>
      </c>
      <c r="O5" s="68">
        <f>IFERROR(IF(AND(9-(WEEKDAY(DATE('⚙️ Configuración'!$C$9+1,7,1),2)-1)+1&gt;=1,9-(WEEKDAY(DATE('⚙️ Configuración'!$C$9+1,7,1),2)-1)+1&lt;=DAY(EOMONTH(DATE('⚙️ Configuración'!$C$9+1,7,1),0))),9-(WEEKDAY(DATE('⚙️ Configuración'!$C$9+1,7,1),2)-1)+1,""),"")</f>
        <v>7</v>
      </c>
      <c r="P5" s="68">
        <f>IFERROR(IF(AND(10-(WEEKDAY(DATE('⚙️ Configuración'!$C$9+1,7,1),2)-1)+1&gt;=1,10-(WEEKDAY(DATE('⚙️ Configuración'!$C$9+1,7,1),2)-1)+1&lt;=DAY(EOMONTH(DATE('⚙️ Configuración'!$C$9+1,7,1),0))),10-(WEEKDAY(DATE('⚙️ Configuración'!$C$9+1,7,1),2)-1)+1,""),"")</f>
        <v>8</v>
      </c>
      <c r="Q5" s="68">
        <f>IFERROR(IF(AND(11-(WEEKDAY(DATE('⚙️ Configuración'!$C$9+1,7,1),2)-1)+1&gt;=1,11-(WEEKDAY(DATE('⚙️ Configuración'!$C$9+1,7,1),2)-1)+1&lt;=DAY(EOMONTH(DATE('⚙️ Configuración'!$C$9+1,7,1),0))),11-(WEEKDAY(DATE('⚙️ Configuración'!$C$9+1,7,1),2)-1)+1,""),"")</f>
        <v>9</v>
      </c>
      <c r="R5" s="68">
        <f>IFERROR(IF(AND(12-(WEEKDAY(DATE('⚙️ Configuración'!$C$9+1,7,1),2)-1)+1&gt;=1,12-(WEEKDAY(DATE('⚙️ Configuración'!$C$9+1,7,1),2)-1)+1&lt;=DAY(EOMONTH(DATE('⚙️ Configuración'!$C$9+1,7,1),0))),12-(WEEKDAY(DATE('⚙️ Configuración'!$C$9+1,7,1),2)-1)+1,""),"")</f>
        <v>10</v>
      </c>
      <c r="S5" s="68">
        <f>IFERROR(IF(AND(13-(WEEKDAY(DATE('⚙️ Configuración'!$C$9+1,7,1),2)-1)+1&gt;=1,13-(WEEKDAY(DATE('⚙️ Configuración'!$C$9+1,7,1),2)-1)+1&lt;=DAY(EOMONTH(DATE('⚙️ Configuración'!$C$9+1,7,1),0))),13-(WEEKDAY(DATE('⚙️ Configuración'!$C$9+1,7,1),2)-1)+1,""),"")</f>
        <v>11</v>
      </c>
      <c r="T5" s="6"/>
      <c r="U5" s="6"/>
      <c r="V5" s="16"/>
      <c r="W5" s="16"/>
      <c r="X5" s="16"/>
      <c r="Y5" s="28" t="s">
        <v>153</v>
      </c>
      <c r="Z5" s="67">
        <f t="shared" ref="Z5:AA5" si="2">E44</f>
        <v>0</v>
      </c>
      <c r="AA5" s="67">
        <f t="shared" si="2"/>
        <v>0</v>
      </c>
      <c r="AB5" s="16"/>
    </row>
    <row r="6" spans="1:28" ht="16.5" customHeight="1">
      <c r="A6" s="16"/>
      <c r="B6" s="153" t="str">
        <f>IF(SUM(F11:F52)=0,"📝  Julio todavía no tiene datos. Empezá por la columna Real","✅  Mes cargado. Todos los cálculos se actualizan solos")</f>
        <v>📝  Julio todavía no tiene datos. Empezá por la columna Real</v>
      </c>
      <c r="C6" s="88"/>
      <c r="D6" s="88"/>
      <c r="E6" s="88"/>
      <c r="F6" s="88"/>
      <c r="G6" s="88"/>
      <c r="H6" s="88"/>
      <c r="I6" s="16"/>
      <c r="J6" s="16"/>
      <c r="K6" s="12"/>
      <c r="L6" s="12"/>
      <c r="M6" s="68">
        <f>IFERROR(IF(AND(14-(WEEKDAY(DATE('⚙️ Configuración'!$C$9+1,7,1),2)-1)+1&gt;=1,14-(WEEKDAY(DATE('⚙️ Configuración'!$C$9+1,7,1),2)-1)+1&lt;=DAY(EOMONTH(DATE('⚙️ Configuración'!$C$9+1,7,1),0))),14-(WEEKDAY(DATE('⚙️ Configuración'!$C$9+1,7,1),2)-1)+1,""),"")</f>
        <v>12</v>
      </c>
      <c r="N6" s="68">
        <f>IFERROR(IF(AND(15-(WEEKDAY(DATE('⚙️ Configuración'!$C$9+1,7,1),2)-1)+1&gt;=1,15-(WEEKDAY(DATE('⚙️ Configuración'!$C$9+1,7,1),2)-1)+1&lt;=DAY(EOMONTH(DATE('⚙️ Configuración'!$C$9+1,7,1),0))),15-(WEEKDAY(DATE('⚙️ Configuración'!$C$9+1,7,1),2)-1)+1,""),"")</f>
        <v>13</v>
      </c>
      <c r="O6" s="68">
        <f>IFERROR(IF(AND(16-(WEEKDAY(DATE('⚙️ Configuración'!$C$9+1,7,1),2)-1)+1&gt;=1,16-(WEEKDAY(DATE('⚙️ Configuración'!$C$9+1,7,1),2)-1)+1&lt;=DAY(EOMONTH(DATE('⚙️ Configuración'!$C$9+1,7,1),0))),16-(WEEKDAY(DATE('⚙️ Configuración'!$C$9+1,7,1),2)-1)+1,""),"")</f>
        <v>14</v>
      </c>
      <c r="P6" s="68">
        <f>IFERROR(IF(AND(17-(WEEKDAY(DATE('⚙️ Configuración'!$C$9+1,7,1),2)-1)+1&gt;=1,17-(WEEKDAY(DATE('⚙️ Configuración'!$C$9+1,7,1),2)-1)+1&lt;=DAY(EOMONTH(DATE('⚙️ Configuración'!$C$9+1,7,1),0))),17-(WEEKDAY(DATE('⚙️ Configuración'!$C$9+1,7,1),2)-1)+1,""),"")</f>
        <v>15</v>
      </c>
      <c r="Q6" s="68">
        <f>IFERROR(IF(AND(18-(WEEKDAY(DATE('⚙️ Configuración'!$C$9+1,7,1),2)-1)+1&gt;=1,18-(WEEKDAY(DATE('⚙️ Configuración'!$C$9+1,7,1),2)-1)+1&lt;=DAY(EOMONTH(DATE('⚙️ Configuración'!$C$9+1,7,1),0))),18-(WEEKDAY(DATE('⚙️ Configuración'!$C$9+1,7,1),2)-1)+1,""),"")</f>
        <v>16</v>
      </c>
      <c r="R6" s="68">
        <f>IFERROR(IF(AND(19-(WEEKDAY(DATE('⚙️ Configuración'!$C$9+1,7,1),2)-1)+1&gt;=1,19-(WEEKDAY(DATE('⚙️ Configuración'!$C$9+1,7,1),2)-1)+1&lt;=DAY(EOMONTH(DATE('⚙️ Configuración'!$C$9+1,7,1),0))),19-(WEEKDAY(DATE('⚙️ Configuración'!$C$9+1,7,1),2)-1)+1,""),"")</f>
        <v>17</v>
      </c>
      <c r="S6" s="68">
        <f>IFERROR(IF(AND(20-(WEEKDAY(DATE('⚙️ Configuración'!$C$9+1,7,1),2)-1)+1&gt;=1,20-(WEEKDAY(DATE('⚙️ Configuración'!$C$9+1,7,1),2)-1)+1&lt;=DAY(EOMONTH(DATE('⚙️ Configuración'!$C$9+1,7,1),0))),20-(WEEKDAY(DATE('⚙️ Configuración'!$C$9+1,7,1),2)-1)+1,""),"")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Configuración'!$C$9+1,7,1),2)-1)+1&gt;=1,21-(WEEKDAY(DATE('⚙️ Configuración'!$C$9+1,7,1),2)-1)+1&lt;=DAY(EOMONTH(DATE('⚙️ Configuración'!$C$9+1,7,1),0))),21-(WEEKDAY(DATE('⚙️ Configuración'!$C$9+1,7,1),2)-1)+1,""),"")</f>
        <v>19</v>
      </c>
      <c r="N7" s="68">
        <f>IFERROR(IF(AND(22-(WEEKDAY(DATE('⚙️ Configuración'!$C$9+1,7,1),2)-1)+1&gt;=1,22-(WEEKDAY(DATE('⚙️ Configuración'!$C$9+1,7,1),2)-1)+1&lt;=DAY(EOMONTH(DATE('⚙️ Configuración'!$C$9+1,7,1),0))),22-(WEEKDAY(DATE('⚙️ Configuración'!$C$9+1,7,1),2)-1)+1,""),"")</f>
        <v>20</v>
      </c>
      <c r="O7" s="68">
        <f>IFERROR(IF(AND(23-(WEEKDAY(DATE('⚙️ Configuración'!$C$9+1,7,1),2)-1)+1&gt;=1,23-(WEEKDAY(DATE('⚙️ Configuración'!$C$9+1,7,1),2)-1)+1&lt;=DAY(EOMONTH(DATE('⚙️ Configuración'!$C$9+1,7,1),0))),23-(WEEKDAY(DATE('⚙️ Configuración'!$C$9+1,7,1),2)-1)+1,""),"")</f>
        <v>21</v>
      </c>
      <c r="P7" s="68">
        <f>IFERROR(IF(AND(24-(WEEKDAY(DATE('⚙️ Configuración'!$C$9+1,7,1),2)-1)+1&gt;=1,24-(WEEKDAY(DATE('⚙️ Configuración'!$C$9+1,7,1),2)-1)+1&lt;=DAY(EOMONTH(DATE('⚙️ Configuración'!$C$9+1,7,1),0))),24-(WEEKDAY(DATE('⚙️ Configuración'!$C$9+1,7,1),2)-1)+1,""),"")</f>
        <v>22</v>
      </c>
      <c r="Q7" s="68">
        <f>IFERROR(IF(AND(25-(WEEKDAY(DATE('⚙️ Configuración'!$C$9+1,7,1),2)-1)+1&gt;=1,25-(WEEKDAY(DATE('⚙️ Configuración'!$C$9+1,7,1),2)-1)+1&lt;=DAY(EOMONTH(DATE('⚙️ Configuración'!$C$9+1,7,1),0))),25-(WEEKDAY(DATE('⚙️ Configuración'!$C$9+1,7,1),2)-1)+1,""),"")</f>
        <v>23</v>
      </c>
      <c r="R7" s="68">
        <f>IFERROR(IF(AND(26-(WEEKDAY(DATE('⚙️ Configuración'!$C$9+1,7,1),2)-1)+1&gt;=1,26-(WEEKDAY(DATE('⚙️ Configuración'!$C$9+1,7,1),2)-1)+1&lt;=DAY(EOMONTH(DATE('⚙️ Configuración'!$C$9+1,7,1),0))),26-(WEEKDAY(DATE('⚙️ Configuración'!$C$9+1,7,1),2)-1)+1,""),"")</f>
        <v>24</v>
      </c>
      <c r="S7" s="68">
        <f>IFERROR(IF(AND(27-(WEEKDAY(DATE('⚙️ Configuración'!$C$9+1,7,1),2)-1)+1&gt;=1,27-(WEEKDAY(DATE('⚙️ Configuración'!$C$9+1,7,1),2)-1)+1&lt;=DAY(EOMONTH(DATE('⚙️ Configuración'!$C$9+1,7,1),0))),27-(WEEKDAY(DATE('⚙️ Configuración'!$C$9+1,7,1),2)-1)+1,""),"")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Configuración'!$C$9+1,7,1),2)-1)+1&gt;=1,28-(WEEKDAY(DATE('⚙️ Configuración'!$C$9+1,7,1),2)-1)+1&lt;=DAY(EOMONTH(DATE('⚙️ Configuración'!$C$9+1,7,1),0))),28-(WEEKDAY(DATE('⚙️ Configuración'!$C$9+1,7,1),2)-1)+1,""),"")</f>
        <v>26</v>
      </c>
      <c r="N8" s="68">
        <f>IFERROR(IF(AND(29-(WEEKDAY(DATE('⚙️ Configuración'!$C$9+1,7,1),2)-1)+1&gt;=1,29-(WEEKDAY(DATE('⚙️ Configuración'!$C$9+1,7,1),2)-1)+1&lt;=DAY(EOMONTH(DATE('⚙️ Configuración'!$C$9+1,7,1),0))),29-(WEEKDAY(DATE('⚙️ Configuración'!$C$9+1,7,1),2)-1)+1,""),"")</f>
        <v>27</v>
      </c>
      <c r="O8" s="68">
        <f>IFERROR(IF(AND(30-(WEEKDAY(DATE('⚙️ Configuración'!$C$9+1,7,1),2)-1)+1&gt;=1,30-(WEEKDAY(DATE('⚙️ Configuración'!$C$9+1,7,1),2)-1)+1&lt;=DAY(EOMONTH(DATE('⚙️ Configuración'!$C$9+1,7,1),0))),30-(WEEKDAY(DATE('⚙️ Configuración'!$C$9+1,7,1),2)-1)+1,""),"")</f>
        <v>28</v>
      </c>
      <c r="P8" s="68">
        <f>IFERROR(IF(AND(31-(WEEKDAY(DATE('⚙️ Configuración'!$C$9+1,7,1),2)-1)+1&gt;=1,31-(WEEKDAY(DATE('⚙️ Configuración'!$C$9+1,7,1),2)-1)+1&lt;=DAY(EOMONTH(DATE('⚙️ Configuración'!$C$9+1,7,1),0))),31-(WEEKDAY(DATE('⚙️ Configuración'!$C$9+1,7,1),2)-1)+1,""),"")</f>
        <v>29</v>
      </c>
      <c r="Q8" s="68">
        <f>IFERROR(IF(AND(32-(WEEKDAY(DATE('⚙️ Configuración'!$C$9+1,7,1),2)-1)+1&gt;=1,32-(WEEKDAY(DATE('⚙️ Configuración'!$C$9+1,7,1),2)-1)+1&lt;=DAY(EOMONTH(DATE('⚙️ Configuración'!$C$9+1,7,1),0))),32-(WEEKDAY(DATE('⚙️ Configuración'!$C$9+1,7,1),2)-1)+1,""),"")</f>
        <v>30</v>
      </c>
      <c r="R8" s="68">
        <f>IFERROR(IF(AND(33-(WEEKDAY(DATE('⚙️ Configuración'!$C$9+1,7,1),2)-1)+1&gt;=1,33-(WEEKDAY(DATE('⚙️ Configuración'!$C$9+1,7,1),2)-1)+1&lt;=DAY(EOMONTH(DATE('⚙️ Configuración'!$C$9+1,7,1),0))),33-(WEEKDAY(DATE('⚙️ Configuración'!$C$9+1,7,1),2)-1)+1,""),"")</f>
        <v>31</v>
      </c>
      <c r="S8" s="68" t="str">
        <f>IFERROR(IF(AND(34-(WEEKDAY(DATE('⚙️ Configuración'!$C$9+1,7,1),2)-1)+1&gt;=1,34-(WEEKDAY(DATE('⚙️ Configuración'!$C$9+1,7,1),2)-1)+1&lt;=DAY(EOMONTH(DATE('⚙️ Configuración'!$C$9+1,7,1),0))),34-(WEEKDAY(DATE('⚙️ Configuración'!$C$9+1,7,1),2)-1)+1,""),"")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Configuración'!$C$9+1,7,1),2)-1)+1&gt;=1,35-(WEEKDAY(DATE('⚙️ Configuración'!$C$9+1,7,1),2)-1)+1&lt;=DAY(EOMONTH(DATE('⚙️ Configuración'!$C$9+1,7,1),0))),35-(WEEKDAY(DATE('⚙️ Configuración'!$C$9+1,7,1),2)-1)+1,""),"")</f>
        <v/>
      </c>
      <c r="N9" s="68" t="str">
        <f>IFERROR(IF(AND(36-(WEEKDAY(DATE('⚙️ Configuración'!$C$9+1,7,1),2)-1)+1&gt;=1,36-(WEEKDAY(DATE('⚙️ Configuración'!$C$9+1,7,1),2)-1)+1&lt;=DAY(EOMONTH(DATE('⚙️ Configuración'!$C$9+1,7,1),0))),36-(WEEKDAY(DATE('⚙️ Configuración'!$C$9+1,7,1),2)-1)+1,""),"")</f>
        <v/>
      </c>
      <c r="O9" s="68" t="str">
        <f>IFERROR(IF(AND(37-(WEEKDAY(DATE('⚙️ Configuración'!$C$9+1,7,1),2)-1)+1&gt;=1,37-(WEEKDAY(DATE('⚙️ Configuración'!$C$9+1,7,1),2)-1)+1&lt;=DAY(EOMONTH(DATE('⚙️ Configuración'!$C$9+1,7,1),0))),37-(WEEKDAY(DATE('⚙️ Configuración'!$C$9+1,7,1),2)-1)+1,""),"")</f>
        <v/>
      </c>
      <c r="P9" s="68" t="str">
        <f>IFERROR(IF(AND(38-(WEEKDAY(DATE('⚙️ Configuración'!$C$9+1,7,1),2)-1)+1&gt;=1,38-(WEEKDAY(DATE('⚙️ Configuración'!$C$9+1,7,1),2)-1)+1&lt;=DAY(EOMONTH(DATE('⚙️ Configuración'!$C$9+1,7,1),0))),38-(WEEKDAY(DATE('⚙️ Configuración'!$C$9+1,7,1),2)-1)+1,""),"")</f>
        <v/>
      </c>
      <c r="Q9" s="68" t="str">
        <f>IFERROR(IF(AND(39-(WEEKDAY(DATE('⚙️ Configuración'!$C$9+1,7,1),2)-1)+1&gt;=1,39-(WEEKDAY(DATE('⚙️ Configuración'!$C$9+1,7,1),2)-1)+1&lt;=DAY(EOMONTH(DATE('⚙️ Configuración'!$C$9+1,7,1),0))),39-(WEEKDAY(DATE('⚙️ Configuración'!$C$9+1,7,1),2)-1)+1,""),"")</f>
        <v/>
      </c>
      <c r="R9" s="68" t="str">
        <f>IFERROR(IF(AND(40-(WEEKDAY(DATE('⚙️ Configuración'!$C$9+1,7,1),2)-1)+1&gt;=1,40-(WEEKDAY(DATE('⚙️ Configuración'!$C$9+1,7,1),2)-1)+1&lt;=DAY(EOMONTH(DATE('⚙️ Configuración'!$C$9+1,7,1),0))),40-(WEEKDAY(DATE('⚙️ Configuración'!$C$9+1,7,1),2)-1)+1,""),"")</f>
        <v/>
      </c>
      <c r="S9" s="68" t="str">
        <f>IFERROR(IF(AND(41-(WEEKDAY(DATE('⚙️ Configuración'!$C$9+1,7,1),2)-1)+1&gt;=1,41-(WEEKDAY(DATE('⚙️ Configuración'!$C$9+1,7,1),2)-1)+1&lt;=DAY(EOMONTH(DATE('⚙️ Configuración'!$C$9+1,7,1),0))),41-(WEEKDAY(DATE('⚙️ Configuración'!$C$9+1,7,1),2)-1)+1,""),"")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AGOSTO</t>
        </is>
      </c>
      <c r="C2" s="88"/>
      <c r="D2" s="88"/>
      <c r="E2" s="62">
        <f>'⚙️ Configuración'!C9+1</f>
        <v>2026</v>
      </c>
      <c r="F2" s="16"/>
      <c r="G2" s="16"/>
      <c r="H2" s="63" t="s">
        <v>216</v>
      </c>
      <c r="I2" s="16"/>
      <c r="J2" s="16"/>
      <c r="K2" s="12"/>
      <c r="L2" s="12"/>
      <c r="M2" s="144" t="inlineStr">
        <is>
          <t>AGOSTO</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Configuración'!$C$9+1,8,1),2)-1)+1&gt;=1,0-(WEEKDAY(DATE('⚙️ Configuración'!$C$9+1,8,1),2)-1)+1&lt;=DAY(EOMONTH(DATE('⚙️ Configuración'!$C$9+1,8,1),0))),0-(WEEKDAY(DATE('⚙️ Configuración'!$C$9+1,8,1),2)-1)+1,""),"")</f>
        <v/>
      </c>
      <c r="N4" s="68" t="str">
        <f>IFERROR(IF(AND(1-(WEEKDAY(DATE('⚙️ Configuración'!$C$9+1,8,1),2)-1)+1&gt;=1,1-(WEEKDAY(DATE('⚙️ Configuración'!$C$9+1,8,1),2)-1)+1&lt;=DAY(EOMONTH(DATE('⚙️ Configuración'!$C$9+1,8,1),0))),1-(WEEKDAY(DATE('⚙️ Configuración'!$C$9+1,8,1),2)-1)+1,""),"")</f>
        <v/>
      </c>
      <c r="O4" s="68" t="str">
        <f>IFERROR(IF(AND(2-(WEEKDAY(DATE('⚙️ Configuración'!$C$9+1,8,1),2)-1)+1&gt;=1,2-(WEEKDAY(DATE('⚙️ Configuración'!$C$9+1,8,1),2)-1)+1&lt;=DAY(EOMONTH(DATE('⚙️ Configuración'!$C$9+1,8,1),0))),2-(WEEKDAY(DATE('⚙️ Configuración'!$C$9+1,8,1),2)-1)+1,""),"")</f>
        <v/>
      </c>
      <c r="P4" s="68">
        <f>IFERROR(IF(AND(3-(WEEKDAY(DATE('⚙️ Configuración'!$C$9+1,8,1),2)-1)+1&gt;=1,3-(WEEKDAY(DATE('⚙️ Configuración'!$C$9+1,8,1),2)-1)+1&lt;=DAY(EOMONTH(DATE('⚙️ Configuración'!$C$9+1,8,1),0))),3-(WEEKDAY(DATE('⚙️ Configuración'!$C$9+1,8,1),2)-1)+1,""),"")</f>
        <v>1</v>
      </c>
      <c r="Q4" s="68">
        <f>IFERROR(IF(AND(4-(WEEKDAY(DATE('⚙️ Configuración'!$C$9+1,8,1),2)-1)+1&gt;=1,4-(WEEKDAY(DATE('⚙️ Configuración'!$C$9+1,8,1),2)-1)+1&lt;=DAY(EOMONTH(DATE('⚙️ Configuración'!$C$9+1,8,1),0))),4-(WEEKDAY(DATE('⚙️ Configuración'!$C$9+1,8,1),2)-1)+1,""),"")</f>
        <v>2</v>
      </c>
      <c r="R4" s="68">
        <f>IFERROR(IF(AND(5-(WEEKDAY(DATE('⚙️ Configuración'!$C$9+1,8,1),2)-1)+1&gt;=1,5-(WEEKDAY(DATE('⚙️ Configuración'!$C$9+1,8,1),2)-1)+1&lt;=DAY(EOMONTH(DATE('⚙️ Configuración'!$C$9+1,8,1),0))),5-(WEEKDAY(DATE('⚙️ Configuración'!$C$9+1,8,1),2)-1)+1,""),"")</f>
        <v>3</v>
      </c>
      <c r="S4" s="68">
        <f>IFERROR(IF(AND(6-(WEEKDAY(DATE('⚙️ Configuración'!$C$9+1,8,1),2)-1)+1&gt;=1,6-(WEEKDAY(DATE('⚙️ Configuración'!$C$9+1,8,1),2)-1)+1&lt;=DAY(EOMONTH(DATE('⚙️ Configuración'!$C$9+1,8,1),0))),6-(WEEKDAY(DATE('⚙️ Configuración'!$C$9+1,8,1),2)-1)+1,""),"")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Configuración'!$C$9+1,8,1),2)-1)+1&gt;=1,7-(WEEKDAY(DATE('⚙️ Configuración'!$C$9+1,8,1),2)-1)+1&lt;=DAY(EOMONTH(DATE('⚙️ Configuración'!$C$9+1,8,1),0))),7-(WEEKDAY(DATE('⚙️ Configuración'!$C$9+1,8,1),2)-1)+1,""),"")</f>
        <v>5</v>
      </c>
      <c r="N5" s="68">
        <f>IFERROR(IF(AND(8-(WEEKDAY(DATE('⚙️ Configuración'!$C$9+1,8,1),2)-1)+1&gt;=1,8-(WEEKDAY(DATE('⚙️ Configuración'!$C$9+1,8,1),2)-1)+1&lt;=DAY(EOMONTH(DATE('⚙️ Configuración'!$C$9+1,8,1),0))),8-(WEEKDAY(DATE('⚙️ Configuración'!$C$9+1,8,1),2)-1)+1,""),"")</f>
        <v>6</v>
      </c>
      <c r="O5" s="68">
        <f>IFERROR(IF(AND(9-(WEEKDAY(DATE('⚙️ Configuración'!$C$9+1,8,1),2)-1)+1&gt;=1,9-(WEEKDAY(DATE('⚙️ Configuración'!$C$9+1,8,1),2)-1)+1&lt;=DAY(EOMONTH(DATE('⚙️ Configuración'!$C$9+1,8,1),0))),9-(WEEKDAY(DATE('⚙️ Configuración'!$C$9+1,8,1),2)-1)+1,""),"")</f>
        <v>7</v>
      </c>
      <c r="P5" s="68">
        <f>IFERROR(IF(AND(10-(WEEKDAY(DATE('⚙️ Configuración'!$C$9+1,8,1),2)-1)+1&gt;=1,10-(WEEKDAY(DATE('⚙️ Configuración'!$C$9+1,8,1),2)-1)+1&lt;=DAY(EOMONTH(DATE('⚙️ Configuración'!$C$9+1,8,1),0))),10-(WEEKDAY(DATE('⚙️ Configuración'!$C$9+1,8,1),2)-1)+1,""),"")</f>
        <v>8</v>
      </c>
      <c r="Q5" s="68">
        <f>IFERROR(IF(AND(11-(WEEKDAY(DATE('⚙️ Configuración'!$C$9+1,8,1),2)-1)+1&gt;=1,11-(WEEKDAY(DATE('⚙️ Configuración'!$C$9+1,8,1),2)-1)+1&lt;=DAY(EOMONTH(DATE('⚙️ Configuración'!$C$9+1,8,1),0))),11-(WEEKDAY(DATE('⚙️ Configuración'!$C$9+1,8,1),2)-1)+1,""),"")</f>
        <v>9</v>
      </c>
      <c r="R5" s="68">
        <f>IFERROR(IF(AND(12-(WEEKDAY(DATE('⚙️ Configuración'!$C$9+1,8,1),2)-1)+1&gt;=1,12-(WEEKDAY(DATE('⚙️ Configuración'!$C$9+1,8,1),2)-1)+1&lt;=DAY(EOMONTH(DATE('⚙️ Configuración'!$C$9+1,8,1),0))),12-(WEEKDAY(DATE('⚙️ Configuración'!$C$9+1,8,1),2)-1)+1,""),"")</f>
        <v>10</v>
      </c>
      <c r="S5" s="68">
        <f>IFERROR(IF(AND(13-(WEEKDAY(DATE('⚙️ Configuración'!$C$9+1,8,1),2)-1)+1&gt;=1,13-(WEEKDAY(DATE('⚙️ Configuración'!$C$9+1,8,1),2)-1)+1&lt;=DAY(EOMONTH(DATE('⚙️ Configuración'!$C$9+1,8,1),0))),13-(WEEKDAY(DATE('⚙️ Configuración'!$C$9+1,8,1),2)-1)+1,""),"")</f>
        <v>11</v>
      </c>
      <c r="T5" s="6"/>
      <c r="U5" s="6"/>
      <c r="V5" s="16"/>
      <c r="W5" s="16"/>
      <c r="X5" s="16"/>
      <c r="Y5" s="28" t="s">
        <v>153</v>
      </c>
      <c r="Z5" s="67">
        <f t="shared" ref="Z5:AA5" si="2">E44</f>
        <v>0</v>
      </c>
      <c r="AA5" s="67">
        <f t="shared" si="2"/>
        <v>0</v>
      </c>
      <c r="AB5" s="16"/>
    </row>
    <row r="6" spans="1:28" ht="16.5" customHeight="1">
      <c r="A6" s="16"/>
      <c r="B6" s="153" t="str">
        <f>IF(SUM(F11:F52)=0,"📝  Agosto todavía no tiene datos. Empezá por la columna Real","✅  Mes cargado. Todos los cálculos se actualizan solos")</f>
        <v>📝  Agosto todavía no tiene datos. Empezá por la columna Real</v>
      </c>
      <c r="C6" s="88"/>
      <c r="D6" s="88"/>
      <c r="E6" s="88"/>
      <c r="F6" s="88"/>
      <c r="G6" s="88"/>
      <c r="H6" s="88"/>
      <c r="I6" s="16"/>
      <c r="J6" s="16"/>
      <c r="K6" s="12"/>
      <c r="L6" s="12"/>
      <c r="M6" s="68">
        <f>IFERROR(IF(AND(14-(WEEKDAY(DATE('⚙️ Configuración'!$C$9+1,8,1),2)-1)+1&gt;=1,14-(WEEKDAY(DATE('⚙️ Configuración'!$C$9+1,8,1),2)-1)+1&lt;=DAY(EOMONTH(DATE('⚙️ Configuración'!$C$9+1,8,1),0))),14-(WEEKDAY(DATE('⚙️ Configuración'!$C$9+1,8,1),2)-1)+1,""),"")</f>
        <v>12</v>
      </c>
      <c r="N6" s="68">
        <f>IFERROR(IF(AND(15-(WEEKDAY(DATE('⚙️ Configuración'!$C$9+1,8,1),2)-1)+1&gt;=1,15-(WEEKDAY(DATE('⚙️ Configuración'!$C$9+1,8,1),2)-1)+1&lt;=DAY(EOMONTH(DATE('⚙️ Configuración'!$C$9+1,8,1),0))),15-(WEEKDAY(DATE('⚙️ Configuración'!$C$9+1,8,1),2)-1)+1,""),"")</f>
        <v>13</v>
      </c>
      <c r="O6" s="68">
        <f>IFERROR(IF(AND(16-(WEEKDAY(DATE('⚙️ Configuración'!$C$9+1,8,1),2)-1)+1&gt;=1,16-(WEEKDAY(DATE('⚙️ Configuración'!$C$9+1,8,1),2)-1)+1&lt;=DAY(EOMONTH(DATE('⚙️ Configuración'!$C$9+1,8,1),0))),16-(WEEKDAY(DATE('⚙️ Configuración'!$C$9+1,8,1),2)-1)+1,""),"")</f>
        <v>14</v>
      </c>
      <c r="P6" s="68">
        <f>IFERROR(IF(AND(17-(WEEKDAY(DATE('⚙️ Configuración'!$C$9+1,8,1),2)-1)+1&gt;=1,17-(WEEKDAY(DATE('⚙️ Configuración'!$C$9+1,8,1),2)-1)+1&lt;=DAY(EOMONTH(DATE('⚙️ Configuración'!$C$9+1,8,1),0))),17-(WEEKDAY(DATE('⚙️ Configuración'!$C$9+1,8,1),2)-1)+1,""),"")</f>
        <v>15</v>
      </c>
      <c r="Q6" s="68">
        <f>IFERROR(IF(AND(18-(WEEKDAY(DATE('⚙️ Configuración'!$C$9+1,8,1),2)-1)+1&gt;=1,18-(WEEKDAY(DATE('⚙️ Configuración'!$C$9+1,8,1),2)-1)+1&lt;=DAY(EOMONTH(DATE('⚙️ Configuración'!$C$9+1,8,1),0))),18-(WEEKDAY(DATE('⚙️ Configuración'!$C$9+1,8,1),2)-1)+1,""),"")</f>
        <v>16</v>
      </c>
      <c r="R6" s="68">
        <f>IFERROR(IF(AND(19-(WEEKDAY(DATE('⚙️ Configuración'!$C$9+1,8,1),2)-1)+1&gt;=1,19-(WEEKDAY(DATE('⚙️ Configuración'!$C$9+1,8,1),2)-1)+1&lt;=DAY(EOMONTH(DATE('⚙️ Configuración'!$C$9+1,8,1),0))),19-(WEEKDAY(DATE('⚙️ Configuración'!$C$9+1,8,1),2)-1)+1,""),"")</f>
        <v>17</v>
      </c>
      <c r="S6" s="68">
        <f>IFERROR(IF(AND(20-(WEEKDAY(DATE('⚙️ Configuración'!$C$9+1,8,1),2)-1)+1&gt;=1,20-(WEEKDAY(DATE('⚙️ Configuración'!$C$9+1,8,1),2)-1)+1&lt;=DAY(EOMONTH(DATE('⚙️ Configuración'!$C$9+1,8,1),0))),20-(WEEKDAY(DATE('⚙️ Configuración'!$C$9+1,8,1),2)-1)+1,""),"")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Configuración'!$C$9+1,8,1),2)-1)+1&gt;=1,21-(WEEKDAY(DATE('⚙️ Configuración'!$C$9+1,8,1),2)-1)+1&lt;=DAY(EOMONTH(DATE('⚙️ Configuración'!$C$9+1,8,1),0))),21-(WEEKDAY(DATE('⚙️ Configuración'!$C$9+1,8,1),2)-1)+1,""),"")</f>
        <v>19</v>
      </c>
      <c r="N7" s="68">
        <f>IFERROR(IF(AND(22-(WEEKDAY(DATE('⚙️ Configuración'!$C$9+1,8,1),2)-1)+1&gt;=1,22-(WEEKDAY(DATE('⚙️ Configuración'!$C$9+1,8,1),2)-1)+1&lt;=DAY(EOMONTH(DATE('⚙️ Configuración'!$C$9+1,8,1),0))),22-(WEEKDAY(DATE('⚙️ Configuración'!$C$9+1,8,1),2)-1)+1,""),"")</f>
        <v>20</v>
      </c>
      <c r="O7" s="68">
        <f>IFERROR(IF(AND(23-(WEEKDAY(DATE('⚙️ Configuración'!$C$9+1,8,1),2)-1)+1&gt;=1,23-(WEEKDAY(DATE('⚙️ Configuración'!$C$9+1,8,1),2)-1)+1&lt;=DAY(EOMONTH(DATE('⚙️ Configuración'!$C$9+1,8,1),0))),23-(WEEKDAY(DATE('⚙️ Configuración'!$C$9+1,8,1),2)-1)+1,""),"")</f>
        <v>21</v>
      </c>
      <c r="P7" s="68">
        <f>IFERROR(IF(AND(24-(WEEKDAY(DATE('⚙️ Configuración'!$C$9+1,8,1),2)-1)+1&gt;=1,24-(WEEKDAY(DATE('⚙️ Configuración'!$C$9+1,8,1),2)-1)+1&lt;=DAY(EOMONTH(DATE('⚙️ Configuración'!$C$9+1,8,1),0))),24-(WEEKDAY(DATE('⚙️ Configuración'!$C$9+1,8,1),2)-1)+1,""),"")</f>
        <v>22</v>
      </c>
      <c r="Q7" s="68">
        <f>IFERROR(IF(AND(25-(WEEKDAY(DATE('⚙️ Configuración'!$C$9+1,8,1),2)-1)+1&gt;=1,25-(WEEKDAY(DATE('⚙️ Configuración'!$C$9+1,8,1),2)-1)+1&lt;=DAY(EOMONTH(DATE('⚙️ Configuración'!$C$9+1,8,1),0))),25-(WEEKDAY(DATE('⚙️ Configuración'!$C$9+1,8,1),2)-1)+1,""),"")</f>
        <v>23</v>
      </c>
      <c r="R7" s="68">
        <f>IFERROR(IF(AND(26-(WEEKDAY(DATE('⚙️ Configuración'!$C$9+1,8,1),2)-1)+1&gt;=1,26-(WEEKDAY(DATE('⚙️ Configuración'!$C$9+1,8,1),2)-1)+1&lt;=DAY(EOMONTH(DATE('⚙️ Configuración'!$C$9+1,8,1),0))),26-(WEEKDAY(DATE('⚙️ Configuración'!$C$9+1,8,1),2)-1)+1,""),"")</f>
        <v>24</v>
      </c>
      <c r="S7" s="68">
        <f>IFERROR(IF(AND(27-(WEEKDAY(DATE('⚙️ Configuración'!$C$9+1,8,1),2)-1)+1&gt;=1,27-(WEEKDAY(DATE('⚙️ Configuración'!$C$9+1,8,1),2)-1)+1&lt;=DAY(EOMONTH(DATE('⚙️ Configuración'!$C$9+1,8,1),0))),27-(WEEKDAY(DATE('⚙️ Configuración'!$C$9+1,8,1),2)-1)+1,""),"")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Configuración'!$C$9+1,8,1),2)-1)+1&gt;=1,28-(WEEKDAY(DATE('⚙️ Configuración'!$C$9+1,8,1),2)-1)+1&lt;=DAY(EOMONTH(DATE('⚙️ Configuración'!$C$9+1,8,1),0))),28-(WEEKDAY(DATE('⚙️ Configuración'!$C$9+1,8,1),2)-1)+1,""),"")</f>
        <v>26</v>
      </c>
      <c r="N8" s="68">
        <f>IFERROR(IF(AND(29-(WEEKDAY(DATE('⚙️ Configuración'!$C$9+1,8,1),2)-1)+1&gt;=1,29-(WEEKDAY(DATE('⚙️ Configuración'!$C$9+1,8,1),2)-1)+1&lt;=DAY(EOMONTH(DATE('⚙️ Configuración'!$C$9+1,8,1),0))),29-(WEEKDAY(DATE('⚙️ Configuración'!$C$9+1,8,1),2)-1)+1,""),"")</f>
        <v>27</v>
      </c>
      <c r="O8" s="68">
        <f>IFERROR(IF(AND(30-(WEEKDAY(DATE('⚙️ Configuración'!$C$9+1,8,1),2)-1)+1&gt;=1,30-(WEEKDAY(DATE('⚙️ Configuración'!$C$9+1,8,1),2)-1)+1&lt;=DAY(EOMONTH(DATE('⚙️ Configuración'!$C$9+1,8,1),0))),30-(WEEKDAY(DATE('⚙️ Configuración'!$C$9+1,8,1),2)-1)+1,""),"")</f>
        <v>28</v>
      </c>
      <c r="P8" s="68">
        <f>IFERROR(IF(AND(31-(WEEKDAY(DATE('⚙️ Configuración'!$C$9+1,8,1),2)-1)+1&gt;=1,31-(WEEKDAY(DATE('⚙️ Configuración'!$C$9+1,8,1),2)-1)+1&lt;=DAY(EOMONTH(DATE('⚙️ Configuración'!$C$9+1,8,1),0))),31-(WEEKDAY(DATE('⚙️ Configuración'!$C$9+1,8,1),2)-1)+1,""),"")</f>
        <v>29</v>
      </c>
      <c r="Q8" s="68">
        <f>IFERROR(IF(AND(32-(WEEKDAY(DATE('⚙️ Configuración'!$C$9+1,8,1),2)-1)+1&gt;=1,32-(WEEKDAY(DATE('⚙️ Configuración'!$C$9+1,8,1),2)-1)+1&lt;=DAY(EOMONTH(DATE('⚙️ Configuración'!$C$9+1,8,1),0))),32-(WEEKDAY(DATE('⚙️ Configuración'!$C$9+1,8,1),2)-1)+1,""),"")</f>
        <v>30</v>
      </c>
      <c r="R8" s="68">
        <f>IFERROR(IF(AND(33-(WEEKDAY(DATE('⚙️ Configuración'!$C$9+1,8,1),2)-1)+1&gt;=1,33-(WEEKDAY(DATE('⚙️ Configuración'!$C$9+1,8,1),2)-1)+1&lt;=DAY(EOMONTH(DATE('⚙️ Configuración'!$C$9+1,8,1),0))),33-(WEEKDAY(DATE('⚙️ Configuración'!$C$9+1,8,1),2)-1)+1,""),"")</f>
        <v>31</v>
      </c>
      <c r="S8" s="68" t="str">
        <f>IFERROR(IF(AND(34-(WEEKDAY(DATE('⚙️ Configuración'!$C$9+1,8,1),2)-1)+1&gt;=1,34-(WEEKDAY(DATE('⚙️ Configuración'!$C$9+1,8,1),2)-1)+1&lt;=DAY(EOMONTH(DATE('⚙️ Configuración'!$C$9+1,8,1),0))),34-(WEEKDAY(DATE('⚙️ Configuración'!$C$9+1,8,1),2)-1)+1,""),"")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Configuración'!$C$9+1,8,1),2)-1)+1&gt;=1,35-(WEEKDAY(DATE('⚙️ Configuración'!$C$9+1,8,1),2)-1)+1&lt;=DAY(EOMONTH(DATE('⚙️ Configuración'!$C$9+1,8,1),0))),35-(WEEKDAY(DATE('⚙️ Configuración'!$C$9+1,8,1),2)-1)+1,""),"")</f>
        <v/>
      </c>
      <c r="N9" s="68" t="str">
        <f>IFERROR(IF(AND(36-(WEEKDAY(DATE('⚙️ Configuración'!$C$9+1,8,1),2)-1)+1&gt;=1,36-(WEEKDAY(DATE('⚙️ Configuración'!$C$9+1,8,1),2)-1)+1&lt;=DAY(EOMONTH(DATE('⚙️ Configuración'!$C$9+1,8,1),0))),36-(WEEKDAY(DATE('⚙️ Configuración'!$C$9+1,8,1),2)-1)+1,""),"")</f>
        <v/>
      </c>
      <c r="O9" s="68" t="str">
        <f>IFERROR(IF(AND(37-(WEEKDAY(DATE('⚙️ Configuración'!$C$9+1,8,1),2)-1)+1&gt;=1,37-(WEEKDAY(DATE('⚙️ Configuración'!$C$9+1,8,1),2)-1)+1&lt;=DAY(EOMONTH(DATE('⚙️ Configuración'!$C$9+1,8,1),0))),37-(WEEKDAY(DATE('⚙️ Configuración'!$C$9+1,8,1),2)-1)+1,""),"")</f>
        <v/>
      </c>
      <c r="P9" s="68" t="str">
        <f>IFERROR(IF(AND(38-(WEEKDAY(DATE('⚙️ Configuración'!$C$9+1,8,1),2)-1)+1&gt;=1,38-(WEEKDAY(DATE('⚙️ Configuración'!$C$9+1,8,1),2)-1)+1&lt;=DAY(EOMONTH(DATE('⚙️ Configuración'!$C$9+1,8,1),0))),38-(WEEKDAY(DATE('⚙️ Configuración'!$C$9+1,8,1),2)-1)+1,""),"")</f>
        <v/>
      </c>
      <c r="Q9" s="68" t="str">
        <f>IFERROR(IF(AND(39-(WEEKDAY(DATE('⚙️ Configuración'!$C$9+1,8,1),2)-1)+1&gt;=1,39-(WEEKDAY(DATE('⚙️ Configuración'!$C$9+1,8,1),2)-1)+1&lt;=DAY(EOMONTH(DATE('⚙️ Configuración'!$C$9+1,8,1),0))),39-(WEEKDAY(DATE('⚙️ Configuración'!$C$9+1,8,1),2)-1)+1,""),"")</f>
        <v/>
      </c>
      <c r="R9" s="68" t="str">
        <f>IFERROR(IF(AND(40-(WEEKDAY(DATE('⚙️ Configuración'!$C$9+1,8,1),2)-1)+1&gt;=1,40-(WEEKDAY(DATE('⚙️ Configuración'!$C$9+1,8,1),2)-1)+1&lt;=DAY(EOMONTH(DATE('⚙️ Configuración'!$C$9+1,8,1),0))),40-(WEEKDAY(DATE('⚙️ Configuración'!$C$9+1,8,1),2)-1)+1,""),"")</f>
        <v/>
      </c>
      <c r="S9" s="68" t="str">
        <f>IFERROR(IF(AND(41-(WEEKDAY(DATE('⚙️ Configuración'!$C$9+1,8,1),2)-1)+1&gt;=1,41-(WEEKDAY(DATE('⚙️ Configuración'!$C$9+1,8,1),2)-1)+1&lt;=DAY(EOMONTH(DATE('⚙️ Configuración'!$C$9+1,8,1),0))),41-(WEEKDAY(DATE('⚙️ Configuración'!$C$9+1,8,1),2)-1)+1,""),"")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7A8C7E"/>
  </sheetPr>
  <dimension ref="A1:AB1000"/>
  <sheetViews>
    <sheetView showGridLines="0" workbookViewId="0"/>
  </sheetViews>
  <sheetFormatPr baseColWidth="10" defaultColWidth="12.59765625" defaultRowHeight="15" customHeight="1"/>
  <cols>
    <col min="1" max="1" width="2" customWidth="1"/>
    <col min="2" max="2" width="5" customWidth="1"/>
    <col min="3" max="3" width="24.5" customWidth="1"/>
    <col min="4" max="4" width="6.3984375" customWidth="1"/>
    <col min="5" max="5" width="19" customWidth="1"/>
    <col min="6" max="6" width="19.19921875" customWidth="1"/>
    <col min="7" max="7" width="14.3984375" customWidth="1"/>
    <col min="8" max="8" width="14.59765625" customWidth="1"/>
    <col min="9" max="9" width="4" customWidth="1"/>
    <col min="10" max="10" width="8.69921875" customWidth="1"/>
    <col min="11" max="24" width="4.3984375" customWidth="1"/>
    <col min="26" max="26" width="13" customWidth="1"/>
    <col min="27" max="27" width="10.09765625" customWidth="1"/>
    <col min="28" max="28" width="4.3984375" customWidth="1"/>
  </cols>
  <sheetData>
    <row r="1" spans="1:28" ht="13.5" customHeight="1">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33.75" customHeight="1">
      <c r="A2" s="16"/>
      <c r="B2" s="148" t="inlineStr">
        <is>
          <t>📅  SEPTIEMBRE</t>
        </is>
      </c>
      <c r="C2" s="88"/>
      <c r="D2" s="88"/>
      <c r="E2" s="62">
        <f>'⚙️ Configuración'!C9+1</f>
        <v>2026</v>
      </c>
      <c r="F2" s="16"/>
      <c r="G2" s="16"/>
      <c r="H2" s="63" t="s">
        <v>216</v>
      </c>
      <c r="I2" s="16"/>
      <c r="J2" s="16"/>
      <c r="K2" s="12"/>
      <c r="L2" s="12"/>
      <c r="M2" s="144" t="inlineStr">
        <is>
          <t>SEPTIEMBRE</t>
        </is>
      </c>
      <c r="N2" s="88"/>
      <c r="O2" s="88"/>
      <c r="P2" s="88"/>
      <c r="Q2" s="88"/>
      <c r="R2" s="88"/>
      <c r="S2" s="88"/>
      <c r="T2" s="6"/>
      <c r="U2" s="6"/>
      <c r="V2" s="16"/>
      <c r="W2" s="16"/>
      <c r="X2" s="16"/>
      <c r="Y2" s="64" t="s">
        <v>154</v>
      </c>
      <c r="Z2" s="65" t="s">
        <v>218</v>
      </c>
      <c r="AA2" s="64" t="s">
        <v>219</v>
      </c>
      <c r="AB2" s="16"/>
    </row>
    <row r="3" spans="1:28" ht="13.5" customHeight="1">
      <c r="A3" s="16"/>
      <c r="B3" s="1"/>
      <c r="C3" s="1"/>
      <c r="D3" s="1"/>
      <c r="E3" s="1"/>
      <c r="F3" s="1"/>
      <c r="G3" s="1"/>
      <c r="H3" s="1"/>
      <c r="I3" s="145" t="str">
        <f ca="1">CHOOSE(WEEKDAY(TODAY(),2),"Lunes","Martes","Miércoles","Jueves","Viernes","Sábado","Domingo")&amp;", "&amp;DAY(TODAY())&amp;" de "&amp;CHOOSE(MONTH(TODAY()),"Enero","Febrero","Marzo","Abril","Mayo","Junio","Julio","Agosto","Septiembre","Octubre","Noviembre","Diciembre")</f>
        <v>Jueves, 24 de Septiembre</v>
      </c>
      <c r="J3" s="88"/>
      <c r="K3" s="88"/>
      <c r="L3" s="88"/>
      <c r="M3" s="66" t="s">
        <v>220</v>
      </c>
      <c r="N3" s="66" t="s">
        <v>221</v>
      </c>
      <c r="O3" s="66" t="s">
        <v>221</v>
      </c>
      <c r="P3" s="66" t="s">
        <v>222</v>
      </c>
      <c r="Q3" s="66" t="s">
        <v>223</v>
      </c>
      <c r="R3" s="66" t="s">
        <v>224</v>
      </c>
      <c r="S3" s="66" t="s">
        <v>225</v>
      </c>
      <c r="T3" s="6"/>
      <c r="U3" s="6"/>
      <c r="V3" s="16"/>
      <c r="W3" s="16"/>
      <c r="X3" s="16"/>
      <c r="Y3" s="28" t="s">
        <v>150</v>
      </c>
      <c r="Z3" s="67">
        <f t="shared" ref="Z3:AA3" si="0">E17</f>
        <v>0</v>
      </c>
      <c r="AA3" s="67">
        <f t="shared" si="0"/>
        <v>0</v>
      </c>
      <c r="AB3" s="16"/>
    </row>
    <row r="4" spans="1:28" ht="20.25" customHeight="1">
      <c r="A4" s="16"/>
      <c r="B4" s="146" t="s">
        <v>226</v>
      </c>
      <c r="C4" s="88"/>
      <c r="D4" s="146" t="s">
        <v>227</v>
      </c>
      <c r="E4" s="88"/>
      <c r="F4" s="146" t="s">
        <v>228</v>
      </c>
      <c r="G4" s="88"/>
      <c r="H4" s="88"/>
      <c r="I4" s="16"/>
      <c r="J4" s="16"/>
      <c r="K4" s="12"/>
      <c r="L4" s="12"/>
      <c r="M4" s="68" t="str">
        <f>IFERROR(IF(AND(0-(WEEKDAY(DATE('⚙️ Configuración'!$C$9+1,9,1),2)-1)+1&gt;=1,0-(WEEKDAY(DATE('⚙️ Configuración'!$C$9+1,9,1),2)-1)+1&lt;=DAY(EOMONTH(DATE('⚙️ Configuración'!$C$9+1,9,1),0))),0-(WEEKDAY(DATE('⚙️ Configuración'!$C$9+1,9,1),2)-1)+1,""),"")</f>
        <v/>
      </c>
      <c r="N4" s="68" t="str">
        <f>IFERROR(IF(AND(1-(WEEKDAY(DATE('⚙️ Configuración'!$C$9+1,9,1),2)-1)+1&gt;=1,1-(WEEKDAY(DATE('⚙️ Configuración'!$C$9+1,9,1),2)-1)+1&lt;=DAY(EOMONTH(DATE('⚙️ Configuración'!$C$9+1,9,1),0))),1-(WEEKDAY(DATE('⚙️ Configuración'!$C$9+1,9,1),2)-1)+1,""),"")</f>
        <v/>
      </c>
      <c r="O4" s="68" t="str">
        <f>IFERROR(IF(AND(2-(WEEKDAY(DATE('⚙️ Configuración'!$C$9+1,9,1),2)-1)+1&gt;=1,2-(WEEKDAY(DATE('⚙️ Configuración'!$C$9+1,9,1),2)-1)+1&lt;=DAY(EOMONTH(DATE('⚙️ Configuración'!$C$9+1,9,1),0))),2-(WEEKDAY(DATE('⚙️ Configuración'!$C$9+1,9,1),2)-1)+1,""),"")</f>
        <v/>
      </c>
      <c r="P4" s="68">
        <f>IFERROR(IF(AND(3-(WEEKDAY(DATE('⚙️ Configuración'!$C$9+1,9,1),2)-1)+1&gt;=1,3-(WEEKDAY(DATE('⚙️ Configuración'!$C$9+1,9,1),2)-1)+1&lt;=DAY(EOMONTH(DATE('⚙️ Configuración'!$C$9+1,9,1),0))),3-(WEEKDAY(DATE('⚙️ Configuración'!$C$9+1,9,1),2)-1)+1,""),"")</f>
        <v>1</v>
      </c>
      <c r="Q4" s="68">
        <f>IFERROR(IF(AND(4-(WEEKDAY(DATE('⚙️ Configuración'!$C$9+1,9,1),2)-1)+1&gt;=1,4-(WEEKDAY(DATE('⚙️ Configuración'!$C$9+1,9,1),2)-1)+1&lt;=DAY(EOMONTH(DATE('⚙️ Configuración'!$C$9+1,9,1),0))),4-(WEEKDAY(DATE('⚙️ Configuración'!$C$9+1,9,1),2)-1)+1,""),"")</f>
        <v>2</v>
      </c>
      <c r="R4" s="68">
        <f>IFERROR(IF(AND(5-(WEEKDAY(DATE('⚙️ Configuración'!$C$9+1,9,1),2)-1)+1&gt;=1,5-(WEEKDAY(DATE('⚙️ Configuración'!$C$9+1,9,1),2)-1)+1&lt;=DAY(EOMONTH(DATE('⚙️ Configuración'!$C$9+1,9,1),0))),5-(WEEKDAY(DATE('⚙️ Configuración'!$C$9+1,9,1),2)-1)+1,""),"")</f>
        <v>3</v>
      </c>
      <c r="S4" s="68">
        <f>IFERROR(IF(AND(6-(WEEKDAY(DATE('⚙️ Configuración'!$C$9+1,9,1),2)-1)+1&gt;=1,6-(WEEKDAY(DATE('⚙️ Configuración'!$C$9+1,9,1),2)-1)+1&lt;=DAY(EOMONTH(DATE('⚙️ Configuración'!$C$9+1,9,1),0))),6-(WEEKDAY(DATE('⚙️ Configuración'!$C$9+1,9,1),2)-1)+1,""),"")</f>
        <v>4</v>
      </c>
      <c r="T4" s="6"/>
      <c r="U4" s="6"/>
      <c r="V4" s="16"/>
      <c r="W4" s="16"/>
      <c r="X4" s="16"/>
      <c r="Y4" s="28" t="s">
        <v>152</v>
      </c>
      <c r="Z4" s="67">
        <f t="shared" ref="Z4:AA4" si="1">E31</f>
        <v>0</v>
      </c>
      <c r="AA4" s="67">
        <f t="shared" si="1"/>
        <v>0</v>
      </c>
      <c r="AB4" s="16"/>
    </row>
    <row r="5" spans="1:28" ht="26.25" customHeight="1">
      <c r="A5" s="16"/>
      <c r="B5" s="149" t="str">
        <f>IF(F17=0,"—",FIXED(F17,0))</f>
        <v>—</v>
      </c>
      <c r="C5" s="150"/>
      <c r="D5" s="149" t="str">
        <f>IF(F31+F44=0,"—",FIXED(F31+F44,0))</f>
        <v>—</v>
      </c>
      <c r="E5" s="150"/>
      <c r="F5" s="151" t="str">
        <f>IF(F17=0,"—",FIXED(F17-F31-F44-F52,0))</f>
        <v>—</v>
      </c>
      <c r="G5" s="152"/>
      <c r="H5" s="152"/>
      <c r="I5" s="16"/>
      <c r="J5" s="16"/>
      <c r="K5" s="12"/>
      <c r="L5" s="12"/>
      <c r="M5" s="68">
        <f>IFERROR(IF(AND(7-(WEEKDAY(DATE('⚙️ Configuración'!$C$9+1,9,1),2)-1)+1&gt;=1,7-(WEEKDAY(DATE('⚙️ Configuración'!$C$9+1,9,1),2)-1)+1&lt;=DAY(EOMONTH(DATE('⚙️ Configuración'!$C$9+1,9,1),0))),7-(WEEKDAY(DATE('⚙️ Configuración'!$C$9+1,9,1),2)-1)+1,""),"")</f>
        <v>5</v>
      </c>
      <c r="N5" s="68">
        <f>IFERROR(IF(AND(8-(WEEKDAY(DATE('⚙️ Configuración'!$C$9+1,9,1),2)-1)+1&gt;=1,8-(WEEKDAY(DATE('⚙️ Configuración'!$C$9+1,9,1),2)-1)+1&lt;=DAY(EOMONTH(DATE('⚙️ Configuración'!$C$9+1,9,1),0))),8-(WEEKDAY(DATE('⚙️ Configuración'!$C$9+1,9,1),2)-1)+1,""),"")</f>
        <v>6</v>
      </c>
      <c r="O5" s="68">
        <f>IFERROR(IF(AND(9-(WEEKDAY(DATE('⚙️ Configuración'!$C$9+1,9,1),2)-1)+1&gt;=1,9-(WEEKDAY(DATE('⚙️ Configuración'!$C$9+1,9,1),2)-1)+1&lt;=DAY(EOMONTH(DATE('⚙️ Configuración'!$C$9+1,9,1),0))),9-(WEEKDAY(DATE('⚙️ Configuración'!$C$9+1,9,1),2)-1)+1,""),"")</f>
        <v>7</v>
      </c>
      <c r="P5" s="68">
        <f>IFERROR(IF(AND(10-(WEEKDAY(DATE('⚙️ Configuración'!$C$9+1,9,1),2)-1)+1&gt;=1,10-(WEEKDAY(DATE('⚙️ Configuración'!$C$9+1,9,1),2)-1)+1&lt;=DAY(EOMONTH(DATE('⚙️ Configuración'!$C$9+1,9,1),0))),10-(WEEKDAY(DATE('⚙️ Configuración'!$C$9+1,9,1),2)-1)+1,""),"")</f>
        <v>8</v>
      </c>
      <c r="Q5" s="68">
        <f>IFERROR(IF(AND(11-(WEEKDAY(DATE('⚙️ Configuración'!$C$9+1,9,1),2)-1)+1&gt;=1,11-(WEEKDAY(DATE('⚙️ Configuración'!$C$9+1,9,1),2)-1)+1&lt;=DAY(EOMONTH(DATE('⚙️ Configuración'!$C$9+1,9,1),0))),11-(WEEKDAY(DATE('⚙️ Configuración'!$C$9+1,9,1),2)-1)+1,""),"")</f>
        <v>9</v>
      </c>
      <c r="R5" s="68">
        <f>IFERROR(IF(AND(12-(WEEKDAY(DATE('⚙️ Configuración'!$C$9+1,9,1),2)-1)+1&gt;=1,12-(WEEKDAY(DATE('⚙️ Configuración'!$C$9+1,9,1),2)-1)+1&lt;=DAY(EOMONTH(DATE('⚙️ Configuración'!$C$9+1,9,1),0))),12-(WEEKDAY(DATE('⚙️ Configuración'!$C$9+1,9,1),2)-1)+1,""),"")</f>
        <v>10</v>
      </c>
      <c r="S5" s="68">
        <f>IFERROR(IF(AND(13-(WEEKDAY(DATE('⚙️ Configuración'!$C$9+1,9,1),2)-1)+1&gt;=1,13-(WEEKDAY(DATE('⚙️ Configuración'!$C$9+1,9,1),2)-1)+1&lt;=DAY(EOMONTH(DATE('⚙️ Configuración'!$C$9+1,9,1),0))),13-(WEEKDAY(DATE('⚙️ Configuración'!$C$9+1,9,1),2)-1)+1,""),"")</f>
        <v>11</v>
      </c>
      <c r="T5" s="6"/>
      <c r="U5" s="6"/>
      <c r="V5" s="16"/>
      <c r="W5" s="16"/>
      <c r="X5" s="16"/>
      <c r="Y5" s="28" t="s">
        <v>153</v>
      </c>
      <c r="Z5" s="67">
        <f t="shared" ref="Z5:AA5" si="2">E44</f>
        <v>0</v>
      </c>
      <c r="AA5" s="67">
        <f t="shared" si="2"/>
        <v>0</v>
      </c>
      <c r="AB5" s="16"/>
    </row>
    <row r="6" spans="1:28" ht="16.5" customHeight="1">
      <c r="A6" s="16"/>
      <c r="B6" s="153" t="str">
        <f>IF(SUM(F11:F52)=0,"📝  Septiembre todavía no tiene datos. Empezá por la columna Real","✅  Mes cargado. Todos los cálculos se actualizan solos")</f>
        <v>📝  Septiembre todavía no tiene datos. Empezá por la columna Real</v>
      </c>
      <c r="C6" s="88"/>
      <c r="D6" s="88"/>
      <c r="E6" s="88"/>
      <c r="F6" s="88"/>
      <c r="G6" s="88"/>
      <c r="H6" s="88"/>
      <c r="I6" s="16"/>
      <c r="J6" s="16"/>
      <c r="K6" s="12"/>
      <c r="L6" s="12"/>
      <c r="M6" s="68">
        <f>IFERROR(IF(AND(14-(WEEKDAY(DATE('⚙️ Configuración'!$C$9+1,9,1),2)-1)+1&gt;=1,14-(WEEKDAY(DATE('⚙️ Configuración'!$C$9+1,9,1),2)-1)+1&lt;=DAY(EOMONTH(DATE('⚙️ Configuración'!$C$9+1,9,1),0))),14-(WEEKDAY(DATE('⚙️ Configuración'!$C$9+1,9,1),2)-1)+1,""),"")</f>
        <v>12</v>
      </c>
      <c r="N6" s="68">
        <f>IFERROR(IF(AND(15-(WEEKDAY(DATE('⚙️ Configuración'!$C$9+1,9,1),2)-1)+1&gt;=1,15-(WEEKDAY(DATE('⚙️ Configuración'!$C$9+1,9,1),2)-1)+1&lt;=DAY(EOMONTH(DATE('⚙️ Configuración'!$C$9+1,9,1),0))),15-(WEEKDAY(DATE('⚙️ Configuración'!$C$9+1,9,1),2)-1)+1,""),"")</f>
        <v>13</v>
      </c>
      <c r="O6" s="68">
        <f>IFERROR(IF(AND(16-(WEEKDAY(DATE('⚙️ Configuración'!$C$9+1,9,1),2)-1)+1&gt;=1,16-(WEEKDAY(DATE('⚙️ Configuración'!$C$9+1,9,1),2)-1)+1&lt;=DAY(EOMONTH(DATE('⚙️ Configuración'!$C$9+1,9,1),0))),16-(WEEKDAY(DATE('⚙️ Configuración'!$C$9+1,9,1),2)-1)+1,""),"")</f>
        <v>14</v>
      </c>
      <c r="P6" s="68">
        <f>IFERROR(IF(AND(17-(WEEKDAY(DATE('⚙️ Configuración'!$C$9+1,9,1),2)-1)+1&gt;=1,17-(WEEKDAY(DATE('⚙️ Configuración'!$C$9+1,9,1),2)-1)+1&lt;=DAY(EOMONTH(DATE('⚙️ Configuración'!$C$9+1,9,1),0))),17-(WEEKDAY(DATE('⚙️ Configuración'!$C$9+1,9,1),2)-1)+1,""),"")</f>
        <v>15</v>
      </c>
      <c r="Q6" s="68">
        <f>IFERROR(IF(AND(18-(WEEKDAY(DATE('⚙️ Configuración'!$C$9+1,9,1),2)-1)+1&gt;=1,18-(WEEKDAY(DATE('⚙️ Configuración'!$C$9+1,9,1),2)-1)+1&lt;=DAY(EOMONTH(DATE('⚙️ Configuración'!$C$9+1,9,1),0))),18-(WEEKDAY(DATE('⚙️ Configuración'!$C$9+1,9,1),2)-1)+1,""),"")</f>
        <v>16</v>
      </c>
      <c r="R6" s="68">
        <f>IFERROR(IF(AND(19-(WEEKDAY(DATE('⚙️ Configuración'!$C$9+1,9,1),2)-1)+1&gt;=1,19-(WEEKDAY(DATE('⚙️ Configuración'!$C$9+1,9,1),2)-1)+1&lt;=DAY(EOMONTH(DATE('⚙️ Configuración'!$C$9+1,9,1),0))),19-(WEEKDAY(DATE('⚙️ Configuración'!$C$9+1,9,1),2)-1)+1,""),"")</f>
        <v>17</v>
      </c>
      <c r="S6" s="68">
        <f>IFERROR(IF(AND(20-(WEEKDAY(DATE('⚙️ Configuración'!$C$9+1,9,1),2)-1)+1&gt;=1,20-(WEEKDAY(DATE('⚙️ Configuración'!$C$9+1,9,1),2)-1)+1&lt;=DAY(EOMONTH(DATE('⚙️ Configuración'!$C$9+1,9,1),0))),20-(WEEKDAY(DATE('⚙️ Configuración'!$C$9+1,9,1),2)-1)+1,""),"")</f>
        <v>18</v>
      </c>
      <c r="T6" s="6"/>
      <c r="U6" s="6"/>
      <c r="V6" s="16"/>
      <c r="W6" s="16"/>
      <c r="X6" s="16"/>
      <c r="Y6" s="16"/>
      <c r="Z6" s="16"/>
      <c r="AA6" s="16"/>
      <c r="AB6" s="16"/>
    </row>
    <row r="7" spans="1:28" ht="13.5" customHeight="1">
      <c r="A7" s="16"/>
      <c r="B7" s="154" t="s">
        <v>229</v>
      </c>
      <c r="C7" s="88"/>
      <c r="D7" s="88"/>
      <c r="E7" s="88"/>
      <c r="F7" s="88"/>
      <c r="G7" s="88"/>
      <c r="H7" s="88"/>
      <c r="I7" s="16"/>
      <c r="J7" s="16"/>
      <c r="K7" s="12"/>
      <c r="L7" s="12"/>
      <c r="M7" s="68">
        <f>IFERROR(IF(AND(21-(WEEKDAY(DATE('⚙️ Configuración'!$C$9+1,9,1),2)-1)+1&gt;=1,21-(WEEKDAY(DATE('⚙️ Configuración'!$C$9+1,9,1),2)-1)+1&lt;=DAY(EOMONTH(DATE('⚙️ Configuración'!$C$9+1,9,1),0))),21-(WEEKDAY(DATE('⚙️ Configuración'!$C$9+1,9,1),2)-1)+1,""),"")</f>
        <v>19</v>
      </c>
      <c r="N7" s="68">
        <f>IFERROR(IF(AND(22-(WEEKDAY(DATE('⚙️ Configuración'!$C$9+1,9,1),2)-1)+1&gt;=1,22-(WEEKDAY(DATE('⚙️ Configuración'!$C$9+1,9,1),2)-1)+1&lt;=DAY(EOMONTH(DATE('⚙️ Configuración'!$C$9+1,9,1),0))),22-(WEEKDAY(DATE('⚙️ Configuración'!$C$9+1,9,1),2)-1)+1,""),"")</f>
        <v>20</v>
      </c>
      <c r="O7" s="68">
        <f>IFERROR(IF(AND(23-(WEEKDAY(DATE('⚙️ Configuración'!$C$9+1,9,1),2)-1)+1&gt;=1,23-(WEEKDAY(DATE('⚙️ Configuración'!$C$9+1,9,1),2)-1)+1&lt;=DAY(EOMONTH(DATE('⚙️ Configuración'!$C$9+1,9,1),0))),23-(WEEKDAY(DATE('⚙️ Configuración'!$C$9+1,9,1),2)-1)+1,""),"")</f>
        <v>21</v>
      </c>
      <c r="P7" s="68">
        <f>IFERROR(IF(AND(24-(WEEKDAY(DATE('⚙️ Configuración'!$C$9+1,9,1),2)-1)+1&gt;=1,24-(WEEKDAY(DATE('⚙️ Configuración'!$C$9+1,9,1),2)-1)+1&lt;=DAY(EOMONTH(DATE('⚙️ Configuración'!$C$9+1,9,1),0))),24-(WEEKDAY(DATE('⚙️ Configuración'!$C$9+1,9,1),2)-1)+1,""),"")</f>
        <v>22</v>
      </c>
      <c r="Q7" s="68">
        <f>IFERROR(IF(AND(25-(WEEKDAY(DATE('⚙️ Configuración'!$C$9+1,9,1),2)-1)+1&gt;=1,25-(WEEKDAY(DATE('⚙️ Configuración'!$C$9+1,9,1),2)-1)+1&lt;=DAY(EOMONTH(DATE('⚙️ Configuración'!$C$9+1,9,1),0))),25-(WEEKDAY(DATE('⚙️ Configuración'!$C$9+1,9,1),2)-1)+1,""),"")</f>
        <v>23</v>
      </c>
      <c r="R7" s="68">
        <f>IFERROR(IF(AND(26-(WEEKDAY(DATE('⚙️ Configuración'!$C$9+1,9,1),2)-1)+1&gt;=1,26-(WEEKDAY(DATE('⚙️ Configuración'!$C$9+1,9,1),2)-1)+1&lt;=DAY(EOMONTH(DATE('⚙️ Configuración'!$C$9+1,9,1),0))),26-(WEEKDAY(DATE('⚙️ Configuración'!$C$9+1,9,1),2)-1)+1,""),"")</f>
        <v>24</v>
      </c>
      <c r="S7" s="68">
        <f>IFERROR(IF(AND(27-(WEEKDAY(DATE('⚙️ Configuración'!$C$9+1,9,1),2)-1)+1&gt;=1,27-(WEEKDAY(DATE('⚙️ Configuración'!$C$9+1,9,1),2)-1)+1&lt;=DAY(EOMONTH(DATE('⚙️ Configuración'!$C$9+1,9,1),0))),27-(WEEKDAY(DATE('⚙️ Configuración'!$C$9+1,9,1),2)-1)+1,""),"")</f>
        <v>25</v>
      </c>
      <c r="T7" s="6"/>
      <c r="U7" s="6"/>
      <c r="V7" s="16"/>
      <c r="W7" s="16"/>
      <c r="X7" s="16"/>
      <c r="Y7" s="16"/>
      <c r="Z7" s="16"/>
      <c r="AA7" s="16"/>
      <c r="AB7" s="16"/>
    </row>
    <row r="8" spans="1:28" ht="13.5" customHeight="1">
      <c r="A8" s="16"/>
      <c r="B8" s="16"/>
      <c r="C8" s="16"/>
      <c r="D8" s="16"/>
      <c r="E8" s="16"/>
      <c r="F8" s="16"/>
      <c r="G8" s="16"/>
      <c r="H8" s="16"/>
      <c r="I8" s="16"/>
      <c r="J8" s="16"/>
      <c r="K8" s="12"/>
      <c r="L8" s="12"/>
      <c r="M8" s="68">
        <f>IFERROR(IF(AND(28-(WEEKDAY(DATE('⚙️ Configuración'!$C$9+1,9,1),2)-1)+1&gt;=1,28-(WEEKDAY(DATE('⚙️ Configuración'!$C$9+1,9,1),2)-1)+1&lt;=DAY(EOMONTH(DATE('⚙️ Configuración'!$C$9+1,9,1),0))),28-(WEEKDAY(DATE('⚙️ Configuración'!$C$9+1,9,1),2)-1)+1,""),"")</f>
        <v>26</v>
      </c>
      <c r="N8" s="68">
        <f>IFERROR(IF(AND(29-(WEEKDAY(DATE('⚙️ Configuración'!$C$9+1,9,1),2)-1)+1&gt;=1,29-(WEEKDAY(DATE('⚙️ Configuración'!$C$9+1,9,1),2)-1)+1&lt;=DAY(EOMONTH(DATE('⚙️ Configuración'!$C$9+1,9,1),0))),29-(WEEKDAY(DATE('⚙️ Configuración'!$C$9+1,9,1),2)-1)+1,""),"")</f>
        <v>27</v>
      </c>
      <c r="O8" s="68">
        <f>IFERROR(IF(AND(30-(WEEKDAY(DATE('⚙️ Configuración'!$C$9+1,9,1),2)-1)+1&gt;=1,30-(WEEKDAY(DATE('⚙️ Configuración'!$C$9+1,9,1),2)-1)+1&lt;=DAY(EOMONTH(DATE('⚙️ Configuración'!$C$9+1,9,1),0))),30-(WEEKDAY(DATE('⚙️ Configuración'!$C$9+1,9,1),2)-1)+1,""),"")</f>
        <v>28</v>
      </c>
      <c r="P8" s="68">
        <f>IFERROR(IF(AND(31-(WEEKDAY(DATE('⚙️ Configuración'!$C$9+1,9,1),2)-1)+1&gt;=1,31-(WEEKDAY(DATE('⚙️ Configuración'!$C$9+1,9,1),2)-1)+1&lt;=DAY(EOMONTH(DATE('⚙️ Configuración'!$C$9+1,9,1),0))),31-(WEEKDAY(DATE('⚙️ Configuración'!$C$9+1,9,1),2)-1)+1,""),"")</f>
        <v>29</v>
      </c>
      <c r="Q8" s="68">
        <f>IFERROR(IF(AND(32-(WEEKDAY(DATE('⚙️ Configuración'!$C$9+1,9,1),2)-1)+1&gt;=1,32-(WEEKDAY(DATE('⚙️ Configuración'!$C$9+1,9,1),2)-1)+1&lt;=DAY(EOMONTH(DATE('⚙️ Configuración'!$C$9+1,9,1),0))),32-(WEEKDAY(DATE('⚙️ Configuración'!$C$9+1,9,1),2)-1)+1,""),"")</f>
        <v>30</v>
      </c>
      <c r="R8" s="68">
        <f>IFERROR(IF(AND(33-(WEEKDAY(DATE('⚙️ Configuración'!$C$9+1,9,1),2)-1)+1&gt;=1,33-(WEEKDAY(DATE('⚙️ Configuración'!$C$9+1,9,1),2)-1)+1&lt;=DAY(EOMONTH(DATE('⚙️ Configuración'!$C$9+1,9,1),0))),33-(WEEKDAY(DATE('⚙️ Configuración'!$C$9+1,9,1),2)-1)+1,""),"")</f>
        <v>31</v>
      </c>
      <c r="S8" s="68" t="str">
        <f>IFERROR(IF(AND(34-(WEEKDAY(DATE('⚙️ Configuración'!$C$9+1,9,1),2)-1)+1&gt;=1,34-(WEEKDAY(DATE('⚙️ Configuración'!$C$9+1,9,1),2)-1)+1&lt;=DAY(EOMONTH(DATE('⚙️ Configuración'!$C$9+1,9,1),0))),34-(WEEKDAY(DATE('⚙️ Configuración'!$C$9+1,9,1),2)-1)+1,""),"")</f>
        <v/>
      </c>
      <c r="T8" s="6"/>
      <c r="U8" s="6"/>
      <c r="V8" s="16"/>
      <c r="W8" s="16"/>
      <c r="X8" s="16"/>
      <c r="Y8" s="16"/>
      <c r="Z8" s="16"/>
      <c r="AA8" s="16"/>
      <c r="AB8" s="16"/>
    </row>
    <row r="9" spans="1:28" ht="18" customHeight="1">
      <c r="A9" s="16"/>
      <c r="B9" s="113" t="s">
        <v>230</v>
      </c>
      <c r="C9" s="88"/>
      <c r="D9" s="88"/>
      <c r="E9" s="88"/>
      <c r="F9" s="88"/>
      <c r="G9" s="88"/>
      <c r="H9" s="88"/>
      <c r="I9" s="16"/>
      <c r="J9" s="16"/>
      <c r="K9" s="12"/>
      <c r="L9" s="12"/>
      <c r="M9" s="68" t="str">
        <f>IFERROR(IF(AND(35-(WEEKDAY(DATE('⚙️ Configuración'!$C$9+1,9,1),2)-1)+1&gt;=1,35-(WEEKDAY(DATE('⚙️ Configuración'!$C$9+1,9,1),2)-1)+1&lt;=DAY(EOMONTH(DATE('⚙️ Configuración'!$C$9+1,9,1),0))),35-(WEEKDAY(DATE('⚙️ Configuración'!$C$9+1,9,1),2)-1)+1,""),"")</f>
        <v/>
      </c>
      <c r="N9" s="68" t="str">
        <f>IFERROR(IF(AND(36-(WEEKDAY(DATE('⚙️ Configuración'!$C$9+1,9,1),2)-1)+1&gt;=1,36-(WEEKDAY(DATE('⚙️ Configuración'!$C$9+1,9,1),2)-1)+1&lt;=DAY(EOMONTH(DATE('⚙️ Configuración'!$C$9+1,9,1),0))),36-(WEEKDAY(DATE('⚙️ Configuración'!$C$9+1,9,1),2)-1)+1,""),"")</f>
        <v/>
      </c>
      <c r="O9" s="68" t="str">
        <f>IFERROR(IF(AND(37-(WEEKDAY(DATE('⚙️ Configuración'!$C$9+1,9,1),2)-1)+1&gt;=1,37-(WEEKDAY(DATE('⚙️ Configuración'!$C$9+1,9,1),2)-1)+1&lt;=DAY(EOMONTH(DATE('⚙️ Configuración'!$C$9+1,9,1),0))),37-(WEEKDAY(DATE('⚙️ Configuración'!$C$9+1,9,1),2)-1)+1,""),"")</f>
        <v/>
      </c>
      <c r="P9" s="68" t="str">
        <f>IFERROR(IF(AND(38-(WEEKDAY(DATE('⚙️ Configuración'!$C$9+1,9,1),2)-1)+1&gt;=1,38-(WEEKDAY(DATE('⚙️ Configuración'!$C$9+1,9,1),2)-1)+1&lt;=DAY(EOMONTH(DATE('⚙️ Configuración'!$C$9+1,9,1),0))),38-(WEEKDAY(DATE('⚙️ Configuración'!$C$9+1,9,1),2)-1)+1,""),"")</f>
        <v/>
      </c>
      <c r="Q9" s="68" t="str">
        <f>IFERROR(IF(AND(39-(WEEKDAY(DATE('⚙️ Configuración'!$C$9+1,9,1),2)-1)+1&gt;=1,39-(WEEKDAY(DATE('⚙️ Configuración'!$C$9+1,9,1),2)-1)+1&lt;=DAY(EOMONTH(DATE('⚙️ Configuración'!$C$9+1,9,1),0))),39-(WEEKDAY(DATE('⚙️ Configuración'!$C$9+1,9,1),2)-1)+1,""),"")</f>
        <v/>
      </c>
      <c r="R9" s="68" t="str">
        <f>IFERROR(IF(AND(40-(WEEKDAY(DATE('⚙️ Configuración'!$C$9+1,9,1),2)-1)+1&gt;=1,40-(WEEKDAY(DATE('⚙️ Configuración'!$C$9+1,9,1),2)-1)+1&lt;=DAY(EOMONTH(DATE('⚙️ Configuración'!$C$9+1,9,1),0))),40-(WEEKDAY(DATE('⚙️ Configuración'!$C$9+1,9,1),2)-1)+1,""),"")</f>
        <v/>
      </c>
      <c r="S9" s="68" t="str">
        <f>IFERROR(IF(AND(41-(WEEKDAY(DATE('⚙️ Configuración'!$C$9+1,9,1),2)-1)+1&gt;=1,41-(WEEKDAY(DATE('⚙️ Configuración'!$C$9+1,9,1),2)-1)+1&lt;=DAY(EOMONTH(DATE('⚙️ Configuración'!$C$9+1,9,1),0))),41-(WEEKDAY(DATE('⚙️ Configuración'!$C$9+1,9,1),2)-1)+1,""),"")</f>
        <v/>
      </c>
      <c r="T9" s="6"/>
      <c r="U9" s="6"/>
      <c r="V9" s="16"/>
      <c r="W9" s="16"/>
      <c r="X9" s="16"/>
      <c r="Y9" s="16"/>
      <c r="Z9" s="16"/>
      <c r="AA9" s="16"/>
      <c r="AB9" s="16"/>
    </row>
    <row r="10" spans="1:28" ht="21.75" customHeight="1">
      <c r="A10" s="16"/>
      <c r="B10" s="31" t="s">
        <v>181</v>
      </c>
      <c r="C10" s="143" t="s">
        <v>146</v>
      </c>
      <c r="D10" s="102"/>
      <c r="E10" s="31" t="s">
        <v>218</v>
      </c>
      <c r="F10" s="31" t="s">
        <v>219</v>
      </c>
      <c r="G10" s="31" t="s">
        <v>231</v>
      </c>
      <c r="H10" s="31" t="s">
        <v>232</v>
      </c>
      <c r="I10" s="16"/>
      <c r="J10" s="16"/>
      <c r="K10" s="16"/>
      <c r="L10" s="16"/>
      <c r="M10" s="16"/>
      <c r="N10" s="16"/>
      <c r="O10" s="16"/>
      <c r="P10" s="16"/>
      <c r="Q10" s="16"/>
      <c r="R10" s="16"/>
      <c r="S10" s="16"/>
      <c r="T10" s="16"/>
      <c r="U10" s="16"/>
      <c r="V10" s="16"/>
      <c r="W10" s="16"/>
      <c r="X10" s="16"/>
      <c r="Y10" s="16"/>
      <c r="Z10" s="16"/>
      <c r="AA10" s="16"/>
      <c r="AB10" s="16"/>
    </row>
    <row r="11" spans="1:28" ht="20.25" customHeight="1">
      <c r="A11" s="16"/>
      <c r="B11" s="48">
        <v>1</v>
      </c>
      <c r="C11" s="135" t="str">
        <f>'⚙️ Configuración'!F39&amp;"  "&amp;'⚙️ Configuración'!G39</f>
        <v>💼  Sueldo / Salario</v>
      </c>
      <c r="D11" s="102"/>
      <c r="E11" s="81"/>
      <c r="F11" s="81"/>
      <c r="G11" s="49">
        <f t="shared" ref="G11:G16" si="3">F11-E11</f>
        <v>0</v>
      </c>
      <c r="H11" s="32" t="str">
        <f t="shared" ref="H11:H16" si="4">IFERROR(IF(E11=0,"",F11/E11),"")</f>
        <v/>
      </c>
      <c r="I11" s="16"/>
      <c r="J11" s="16"/>
      <c r="K11" s="16"/>
      <c r="L11" s="16"/>
      <c r="M11" s="16"/>
      <c r="N11" s="16"/>
      <c r="O11" s="16"/>
      <c r="P11" s="16"/>
      <c r="Q11" s="16"/>
      <c r="R11" s="16"/>
      <c r="S11" s="16"/>
      <c r="T11" s="16"/>
      <c r="U11" s="16"/>
      <c r="V11" s="16"/>
      <c r="W11" s="16"/>
      <c r="X11" s="16"/>
      <c r="Y11" s="16"/>
      <c r="Z11" s="16"/>
      <c r="AA11" s="16"/>
      <c r="AB11" s="16"/>
    </row>
    <row r="12" spans="1:28" ht="20.25" customHeight="1">
      <c r="A12" s="16"/>
      <c r="B12" s="48">
        <v>2</v>
      </c>
      <c r="C12" s="135" t="str">
        <f>'⚙️ Configuración'!F40&amp;"  "&amp;'⚙️ Configuración'!G40</f>
        <v>💻  Freelance / Honorarios</v>
      </c>
      <c r="D12" s="102"/>
      <c r="E12" s="81"/>
      <c r="F12" s="81"/>
      <c r="G12" s="49">
        <f t="shared" si="3"/>
        <v>0</v>
      </c>
      <c r="H12" s="32" t="str">
        <f t="shared" si="4"/>
        <v/>
      </c>
      <c r="I12" s="16"/>
      <c r="J12" s="16"/>
      <c r="K12" s="16"/>
      <c r="L12" s="16"/>
      <c r="M12" s="16"/>
      <c r="N12" s="16"/>
      <c r="O12" s="16"/>
      <c r="P12" s="16"/>
      <c r="Q12" s="16"/>
      <c r="R12" s="16"/>
      <c r="S12" s="16"/>
      <c r="T12" s="16"/>
      <c r="U12" s="16"/>
      <c r="V12" s="16"/>
      <c r="W12" s="16"/>
      <c r="X12" s="16"/>
      <c r="Y12" s="16"/>
      <c r="Z12" s="16"/>
      <c r="AA12" s="16"/>
      <c r="AB12" s="16"/>
    </row>
    <row r="13" spans="1:28" ht="20.25" customHeight="1">
      <c r="A13" s="16"/>
      <c r="B13" s="48">
        <v>3</v>
      </c>
      <c r="C13" s="135" t="str">
        <f>'⚙️ Configuración'!F41&amp;"  "&amp;'⚙️ Configuración'!G41</f>
        <v>🏪  Negocio propio</v>
      </c>
      <c r="D13" s="102"/>
      <c r="E13" s="81"/>
      <c r="F13" s="81"/>
      <c r="G13" s="49">
        <f t="shared" si="3"/>
        <v>0</v>
      </c>
      <c r="H13" s="32" t="str">
        <f t="shared" si="4"/>
        <v/>
      </c>
      <c r="I13" s="16"/>
      <c r="J13" s="16"/>
      <c r="K13" s="16"/>
      <c r="L13" s="16"/>
      <c r="M13" s="16"/>
      <c r="N13" s="16"/>
      <c r="O13" s="16"/>
      <c r="P13" s="16"/>
      <c r="Q13" s="16"/>
      <c r="R13" s="16"/>
      <c r="S13" s="16"/>
      <c r="T13" s="16"/>
      <c r="U13" s="16"/>
      <c r="V13" s="16"/>
      <c r="W13" s="16"/>
      <c r="X13" s="16"/>
      <c r="Y13" s="16"/>
      <c r="Z13" s="16"/>
      <c r="AA13" s="16"/>
      <c r="AB13" s="16"/>
    </row>
    <row r="14" spans="1:28" ht="20.25" customHeight="1">
      <c r="A14" s="16"/>
      <c r="B14" s="48">
        <v>4</v>
      </c>
      <c r="C14" s="135" t="str">
        <f>'⚙️ Configuración'!F42&amp;"  "&amp;'⚙️ Configuración'!G42</f>
        <v>🎁  Regalos / Bonos</v>
      </c>
      <c r="D14" s="102"/>
      <c r="E14" s="81"/>
      <c r="F14" s="81"/>
      <c r="G14" s="49">
        <f t="shared" si="3"/>
        <v>0</v>
      </c>
      <c r="H14" s="32" t="str">
        <f t="shared" si="4"/>
        <v/>
      </c>
      <c r="I14" s="16"/>
      <c r="J14" s="16"/>
      <c r="K14" s="16"/>
      <c r="L14" s="16"/>
      <c r="M14" s="16"/>
      <c r="N14" s="16"/>
      <c r="O14" s="16"/>
      <c r="P14" s="16"/>
      <c r="Q14" s="16"/>
      <c r="R14" s="16"/>
      <c r="S14" s="16"/>
      <c r="T14" s="16"/>
      <c r="U14" s="16"/>
      <c r="V14" s="16"/>
      <c r="W14" s="16"/>
      <c r="X14" s="16"/>
      <c r="Y14" s="16"/>
      <c r="Z14" s="16"/>
      <c r="AA14" s="16"/>
      <c r="AB14" s="16"/>
    </row>
    <row r="15" spans="1:28" ht="20.25" customHeight="1">
      <c r="A15" s="16"/>
      <c r="B15" s="48">
        <v>5</v>
      </c>
      <c r="C15" s="135" t="str">
        <f>'⚙️ Configuración'!F43&amp;"  "&amp;'⚙️ Configuración'!G43</f>
        <v>📈  Rendimientos / Intereses</v>
      </c>
      <c r="D15" s="102"/>
      <c r="E15" s="81"/>
      <c r="F15" s="81"/>
      <c r="G15" s="49">
        <f t="shared" si="3"/>
        <v>0</v>
      </c>
      <c r="H15" s="32" t="str">
        <f t="shared" si="4"/>
        <v/>
      </c>
      <c r="I15" s="16"/>
      <c r="J15" s="16"/>
      <c r="K15" s="16"/>
      <c r="L15" s="16"/>
      <c r="M15" s="16"/>
      <c r="N15" s="16"/>
      <c r="O15" s="16"/>
      <c r="P15" s="16"/>
      <c r="Q15" s="16"/>
      <c r="R15" s="16"/>
      <c r="S15" s="16"/>
      <c r="T15" s="16"/>
      <c r="U15" s="16"/>
      <c r="V15" s="16"/>
      <c r="W15" s="16"/>
      <c r="X15" s="16"/>
      <c r="Y15" s="16"/>
      <c r="Z15" s="16"/>
      <c r="AA15" s="16"/>
      <c r="AB15" s="16"/>
    </row>
    <row r="16" spans="1:28" ht="20.25" customHeight="1">
      <c r="A16" s="16"/>
      <c r="B16" s="48">
        <v>6</v>
      </c>
      <c r="C16" s="135" t="str">
        <f>'⚙️ Configuración'!F44&amp;"  "&amp;'⚙️ Configuración'!G44</f>
        <v>💰  Otros ingresos</v>
      </c>
      <c r="D16" s="102"/>
      <c r="E16" s="81"/>
      <c r="F16" s="81"/>
      <c r="G16" s="49">
        <f t="shared" si="3"/>
        <v>0</v>
      </c>
      <c r="H16" s="32" t="str">
        <f t="shared" si="4"/>
        <v/>
      </c>
      <c r="I16" s="16"/>
      <c r="J16" s="16"/>
      <c r="K16" s="16"/>
      <c r="L16" s="16"/>
      <c r="M16" s="16"/>
      <c r="N16" s="16"/>
      <c r="O16" s="16"/>
      <c r="P16" s="16"/>
      <c r="Q16" s="16"/>
      <c r="R16" s="16"/>
      <c r="S16" s="16"/>
      <c r="T16" s="16"/>
      <c r="U16" s="16"/>
      <c r="V16" s="16"/>
      <c r="W16" s="16"/>
      <c r="X16" s="16"/>
      <c r="Y16" s="16"/>
      <c r="Z16" s="16"/>
      <c r="AA16" s="16"/>
      <c r="AB16" s="16"/>
    </row>
    <row r="17" spans="1:28" ht="23.25" customHeight="1">
      <c r="A17" s="16"/>
      <c r="B17" s="142" t="s">
        <v>149</v>
      </c>
      <c r="C17" s="101"/>
      <c r="D17" s="102"/>
      <c r="E17" s="69">
        <f t="shared" ref="E17:G17" si="5">SUM(E11:E16)</f>
        <v>0</v>
      </c>
      <c r="F17" s="69">
        <f t="shared" si="5"/>
        <v>0</v>
      </c>
      <c r="G17" s="69">
        <f t="shared" si="5"/>
        <v>0</v>
      </c>
      <c r="H17" s="70" t="str">
        <f>IFERROR(F17/E17,"")</f>
        <v/>
      </c>
      <c r="I17" s="16"/>
      <c r="J17" s="16"/>
      <c r="K17" s="16"/>
      <c r="L17" s="16"/>
      <c r="M17" s="16"/>
      <c r="N17" s="16"/>
      <c r="O17" s="16"/>
      <c r="P17" s="16"/>
      <c r="Q17" s="16"/>
      <c r="R17" s="16"/>
      <c r="S17" s="16"/>
      <c r="T17" s="16"/>
      <c r="U17" s="16"/>
      <c r="V17" s="16"/>
      <c r="W17" s="16"/>
      <c r="X17" s="16"/>
      <c r="Y17" s="16"/>
      <c r="Z17" s="16"/>
      <c r="AA17" s="16"/>
      <c r="AB17" s="16"/>
    </row>
    <row r="18" spans="1:28" ht="13.5"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21.75" customHeight="1">
      <c r="A19" s="16"/>
      <c r="B19" s="113" t="s">
        <v>233</v>
      </c>
      <c r="C19" s="88"/>
      <c r="D19" s="88"/>
      <c r="E19" s="88"/>
      <c r="F19" s="88"/>
      <c r="G19" s="88"/>
      <c r="H19" s="88"/>
      <c r="I19" s="16"/>
      <c r="J19" s="16"/>
      <c r="K19" s="16"/>
      <c r="L19" s="16"/>
      <c r="M19" s="16"/>
      <c r="N19" s="16"/>
      <c r="O19" s="16"/>
      <c r="P19" s="16"/>
      <c r="Q19" s="16"/>
      <c r="R19" s="16"/>
      <c r="S19" s="16"/>
      <c r="T19" s="16"/>
      <c r="U19" s="16"/>
      <c r="V19" s="16"/>
      <c r="W19" s="16"/>
      <c r="X19" s="16"/>
      <c r="Y19" s="16"/>
      <c r="Z19" s="16"/>
      <c r="AA19" s="16"/>
      <c r="AB19" s="16"/>
    </row>
    <row r="20" spans="1:28" ht="21.75" customHeight="1">
      <c r="A20" s="16"/>
      <c r="B20" s="31" t="s">
        <v>181</v>
      </c>
      <c r="C20" s="143" t="s">
        <v>146</v>
      </c>
      <c r="D20" s="102"/>
      <c r="E20" s="31" t="s">
        <v>218</v>
      </c>
      <c r="F20" s="31" t="s">
        <v>219</v>
      </c>
      <c r="G20" s="31" t="s">
        <v>231</v>
      </c>
      <c r="H20" s="31" t="s">
        <v>232</v>
      </c>
      <c r="I20" s="16"/>
      <c r="J20" s="16"/>
      <c r="K20" s="16"/>
      <c r="L20" s="16"/>
      <c r="M20" s="16"/>
      <c r="N20" s="16"/>
      <c r="O20" s="16"/>
      <c r="P20" s="16"/>
      <c r="Q20" s="16"/>
      <c r="R20" s="16"/>
      <c r="S20" s="16"/>
      <c r="T20" s="16"/>
      <c r="U20" s="16"/>
      <c r="V20" s="16"/>
      <c r="W20" s="16"/>
      <c r="X20" s="16"/>
      <c r="Y20" s="16"/>
      <c r="Z20" s="16"/>
      <c r="AA20" s="16"/>
      <c r="AB20" s="16"/>
    </row>
    <row r="21" spans="1:28" ht="20.25" customHeight="1">
      <c r="A21" s="16"/>
      <c r="B21" s="48">
        <v>1</v>
      </c>
      <c r="C21" s="135" t="str">
        <f>'⚙️ Configuración'!F10&amp;"  "&amp;'⚙️ Configuración'!G10</f>
        <v>🏠  Hogar (alquiler, expensas)</v>
      </c>
      <c r="D21" s="102"/>
      <c r="E21" s="81"/>
      <c r="F21" s="81"/>
      <c r="G21" s="49">
        <f t="shared" ref="G21:G30" si="6">E21-F21</f>
        <v>0</v>
      </c>
      <c r="H21" s="32" t="str">
        <f t="shared" ref="H21:H30" si="7">IFERROR(IF(E21=0,"",F21/E21),"")</f>
        <v/>
      </c>
      <c r="I21" s="16"/>
      <c r="J21" s="16"/>
      <c r="K21" s="16"/>
      <c r="L21" s="16"/>
      <c r="M21" s="16"/>
      <c r="N21" s="16"/>
      <c r="O21" s="16"/>
      <c r="P21" s="16"/>
      <c r="Q21" s="16"/>
      <c r="R21" s="16"/>
      <c r="S21" s="16"/>
      <c r="T21" s="16"/>
      <c r="U21" s="16"/>
      <c r="V21" s="16"/>
      <c r="W21" s="16"/>
      <c r="X21" s="16"/>
      <c r="Y21" s="16"/>
      <c r="Z21" s="16"/>
      <c r="AA21" s="16"/>
      <c r="AB21" s="16"/>
    </row>
    <row r="22" spans="1:28" ht="20.25" customHeight="1">
      <c r="A22" s="16"/>
      <c r="B22" s="48">
        <v>2</v>
      </c>
      <c r="C22" s="135" t="str">
        <f>'⚙️ Configuración'!F11&amp;"  "&amp;'⚙️ Configuración'!G11</f>
        <v>🍽️  Alimentación / Mercado</v>
      </c>
      <c r="D22" s="102"/>
      <c r="E22" s="81"/>
      <c r="F22" s="81"/>
      <c r="G22" s="49">
        <f t="shared" si="6"/>
        <v>0</v>
      </c>
      <c r="H22" s="32" t="str">
        <f t="shared" si="7"/>
        <v/>
      </c>
      <c r="I22" s="16"/>
      <c r="J22" s="16"/>
      <c r="K22" s="16"/>
      <c r="L22" s="16"/>
      <c r="M22" s="16"/>
      <c r="N22" s="16"/>
      <c r="O22" s="16"/>
      <c r="P22" s="16"/>
      <c r="Q22" s="16"/>
      <c r="R22" s="16"/>
      <c r="S22" s="16"/>
      <c r="T22" s="16"/>
      <c r="U22" s="16"/>
      <c r="V22" s="16"/>
      <c r="W22" s="16"/>
      <c r="X22" s="16"/>
      <c r="Y22" s="16"/>
      <c r="Z22" s="16"/>
      <c r="AA22" s="16"/>
      <c r="AB22" s="16"/>
    </row>
    <row r="23" spans="1:28" ht="20.25" customHeight="1">
      <c r="A23" s="16"/>
      <c r="B23" s="48">
        <v>3</v>
      </c>
      <c r="C23" s="135" t="str">
        <f>'⚙️ Configuración'!F12&amp;"  "&amp;'⚙️ Configuración'!G12</f>
        <v>💡  Servicios (luz, gas, agua)</v>
      </c>
      <c r="D23" s="102"/>
      <c r="E23" s="81"/>
      <c r="F23" s="81"/>
      <c r="G23" s="49">
        <f t="shared" si="6"/>
        <v>0</v>
      </c>
      <c r="H23" s="32" t="str">
        <f t="shared" si="7"/>
        <v/>
      </c>
      <c r="I23" s="16"/>
      <c r="J23" s="16"/>
      <c r="K23" s="16"/>
      <c r="L23" s="16"/>
      <c r="M23" s="16"/>
      <c r="N23" s="16"/>
      <c r="O23" s="16"/>
      <c r="P23" s="16"/>
      <c r="Q23" s="16"/>
      <c r="R23" s="16"/>
      <c r="S23" s="16"/>
      <c r="T23" s="16"/>
      <c r="U23" s="16"/>
      <c r="V23" s="16"/>
      <c r="W23" s="16"/>
      <c r="X23" s="16"/>
      <c r="Y23" s="16"/>
      <c r="Z23" s="16"/>
      <c r="AA23" s="16"/>
      <c r="AB23" s="16"/>
    </row>
    <row r="24" spans="1:28" ht="20.25" customHeight="1">
      <c r="A24" s="16"/>
      <c r="B24" s="48">
        <v>4</v>
      </c>
      <c r="C24" s="135" t="str">
        <f>'⚙️ Configuración'!F13&amp;"  "&amp;'⚙️ Configuración'!G13</f>
        <v>📶  Internet y Celular</v>
      </c>
      <c r="D24" s="102"/>
      <c r="E24" s="81"/>
      <c r="F24" s="81"/>
      <c r="G24" s="49">
        <f t="shared" si="6"/>
        <v>0</v>
      </c>
      <c r="H24" s="32" t="str">
        <f t="shared" si="7"/>
        <v/>
      </c>
      <c r="I24" s="16"/>
      <c r="J24" s="16"/>
      <c r="K24" s="16"/>
      <c r="L24" s="16"/>
      <c r="M24" s="16"/>
      <c r="N24" s="16"/>
      <c r="O24" s="16"/>
      <c r="P24" s="16"/>
      <c r="Q24" s="16"/>
      <c r="R24" s="16"/>
      <c r="S24" s="16"/>
      <c r="T24" s="16"/>
      <c r="U24" s="16"/>
      <c r="V24" s="16"/>
      <c r="W24" s="16"/>
      <c r="X24" s="16"/>
      <c r="Y24" s="16"/>
      <c r="Z24" s="16"/>
      <c r="AA24" s="16"/>
      <c r="AB24" s="16"/>
    </row>
    <row r="25" spans="1:28" ht="20.25" customHeight="1">
      <c r="A25" s="16"/>
      <c r="B25" s="48">
        <v>5</v>
      </c>
      <c r="C25" s="135" t="str">
        <f>'⚙️ Configuración'!F14&amp;"  "&amp;'⚙️ Configuración'!G14</f>
        <v>🚗  Transporte / Combustible</v>
      </c>
      <c r="D25" s="102"/>
      <c r="E25" s="81"/>
      <c r="F25" s="81"/>
      <c r="G25" s="49">
        <f t="shared" si="6"/>
        <v>0</v>
      </c>
      <c r="H25" s="32" t="str">
        <f t="shared" si="7"/>
        <v/>
      </c>
      <c r="I25" s="16"/>
      <c r="J25" s="16"/>
      <c r="K25" s="16"/>
      <c r="L25" s="16"/>
      <c r="M25" s="16"/>
      <c r="N25" s="16"/>
      <c r="O25" s="16"/>
      <c r="P25" s="16"/>
      <c r="Q25" s="16"/>
      <c r="R25" s="16"/>
      <c r="S25" s="16"/>
      <c r="T25" s="16"/>
      <c r="U25" s="16"/>
      <c r="V25" s="16"/>
      <c r="W25" s="16"/>
      <c r="X25" s="16"/>
      <c r="Y25" s="16"/>
      <c r="Z25" s="16"/>
      <c r="AA25" s="16"/>
      <c r="AB25" s="16"/>
    </row>
    <row r="26" spans="1:28" ht="27.75" customHeight="1">
      <c r="A26" s="16"/>
      <c r="B26" s="48">
        <v>6</v>
      </c>
      <c r="C26" s="135" t="str">
        <f>'⚙️ Configuración'!F15&amp;"  "&amp;'⚙️ Configuración'!G15</f>
        <v>🏥  Salud / Prepaga / Farmacia</v>
      </c>
      <c r="D26" s="102"/>
      <c r="E26" s="81"/>
      <c r="F26" s="81"/>
      <c r="G26" s="49">
        <f t="shared" si="6"/>
        <v>0</v>
      </c>
      <c r="H26" s="32" t="str">
        <f t="shared" si="7"/>
        <v/>
      </c>
      <c r="I26" s="16"/>
      <c r="J26" s="16"/>
      <c r="K26" s="16"/>
      <c r="L26" s="16"/>
      <c r="M26" s="16"/>
      <c r="N26" s="16"/>
      <c r="O26" s="16"/>
      <c r="P26" s="16"/>
      <c r="Q26" s="16"/>
      <c r="R26" s="16"/>
      <c r="S26" s="16"/>
      <c r="T26" s="16"/>
      <c r="U26" s="16"/>
      <c r="V26" s="16"/>
      <c r="W26" s="16"/>
      <c r="X26" s="16"/>
      <c r="Y26" s="16"/>
      <c r="Z26" s="16"/>
      <c r="AA26" s="16"/>
      <c r="AB26" s="16"/>
    </row>
    <row r="27" spans="1:28" ht="20.25" customHeight="1">
      <c r="A27" s="16"/>
      <c r="B27" s="48">
        <v>7</v>
      </c>
      <c r="C27" s="135" t="str">
        <f>'⚙️ Configuración'!F16&amp;"  "&amp;'⚙️ Configuración'!G16</f>
        <v>📚  Educación</v>
      </c>
      <c r="D27" s="102"/>
      <c r="E27" s="81"/>
      <c r="F27" s="81"/>
      <c r="G27" s="49">
        <f t="shared" si="6"/>
        <v>0</v>
      </c>
      <c r="H27" s="32" t="str">
        <f t="shared" si="7"/>
        <v/>
      </c>
      <c r="I27" s="16"/>
      <c r="J27" s="16"/>
      <c r="K27" s="16"/>
      <c r="L27" s="16"/>
      <c r="M27" s="16"/>
      <c r="N27" s="16"/>
      <c r="O27" s="16"/>
      <c r="P27" s="16"/>
      <c r="Q27" s="16"/>
      <c r="R27" s="16"/>
      <c r="S27" s="16"/>
      <c r="T27" s="16"/>
      <c r="U27" s="16"/>
      <c r="V27" s="16"/>
      <c r="W27" s="16"/>
      <c r="X27" s="16"/>
      <c r="Y27" s="16"/>
      <c r="Z27" s="16"/>
      <c r="AA27" s="16"/>
      <c r="AB27" s="16"/>
    </row>
    <row r="28" spans="1:28" ht="20.25" customHeight="1">
      <c r="A28" s="16"/>
      <c r="B28" s="48">
        <v>8</v>
      </c>
      <c r="C28" s="135" t="str">
        <f>'⚙️ Configuración'!F17&amp;"  "&amp;'⚙️ Configuración'!G17</f>
        <v>🛡️  Seguros</v>
      </c>
      <c r="D28" s="102"/>
      <c r="E28" s="81"/>
      <c r="F28" s="81"/>
      <c r="G28" s="49">
        <f t="shared" si="6"/>
        <v>0</v>
      </c>
      <c r="H28" s="32" t="str">
        <f t="shared" si="7"/>
        <v/>
      </c>
      <c r="I28" s="16"/>
      <c r="J28" s="16"/>
      <c r="K28" s="16"/>
      <c r="L28" s="16"/>
      <c r="M28" s="16"/>
      <c r="N28" s="16"/>
      <c r="O28" s="16"/>
      <c r="P28" s="16"/>
      <c r="Q28" s="16"/>
      <c r="R28" s="16"/>
      <c r="S28" s="16"/>
      <c r="T28" s="16"/>
      <c r="U28" s="16"/>
      <c r="V28" s="16"/>
      <c r="W28" s="16"/>
      <c r="X28" s="16"/>
      <c r="Y28" s="16"/>
      <c r="Z28" s="16"/>
      <c r="AA28" s="16"/>
      <c r="AB28" s="16"/>
    </row>
    <row r="29" spans="1:28" ht="20.25" customHeight="1">
      <c r="A29" s="16"/>
      <c r="B29" s="48">
        <v>9</v>
      </c>
      <c r="C29" s="135" t="str">
        <f>'⚙️ Configuración'!F18&amp;"  "&amp;'⚙️ Configuración'!G18</f>
        <v>💼  Impuestos</v>
      </c>
      <c r="D29" s="102"/>
      <c r="E29" s="81"/>
      <c r="F29" s="81"/>
      <c r="G29" s="49">
        <f t="shared" si="6"/>
        <v>0</v>
      </c>
      <c r="H29" s="32" t="str">
        <f t="shared" si="7"/>
        <v/>
      </c>
      <c r="I29" s="16"/>
      <c r="J29" s="16"/>
      <c r="K29" s="16"/>
      <c r="L29" s="16"/>
      <c r="M29" s="16"/>
      <c r="N29" s="16"/>
      <c r="O29" s="16"/>
      <c r="P29" s="16"/>
      <c r="Q29" s="16"/>
      <c r="R29" s="16"/>
      <c r="S29" s="16"/>
      <c r="T29" s="16"/>
      <c r="U29" s="16"/>
      <c r="V29" s="16"/>
      <c r="W29" s="16"/>
      <c r="X29" s="16"/>
      <c r="Y29" s="16"/>
      <c r="Z29" s="16"/>
      <c r="AA29" s="16"/>
      <c r="AB29" s="16"/>
    </row>
    <row r="30" spans="1:28" ht="20.25" customHeight="1">
      <c r="A30" s="16"/>
      <c r="B30" s="48">
        <v>10</v>
      </c>
      <c r="C30" s="135" t="str">
        <f>'⚙️ Configuración'!F19&amp;"  "&amp;'⚙️ Configuración'!G19</f>
        <v>🐾  Mascotas</v>
      </c>
      <c r="D30" s="102"/>
      <c r="E30" s="81"/>
      <c r="F30" s="81"/>
      <c r="G30" s="49">
        <f t="shared" si="6"/>
        <v>0</v>
      </c>
      <c r="H30" s="32" t="str">
        <f t="shared" si="7"/>
        <v/>
      </c>
      <c r="I30" s="16"/>
      <c r="J30" s="16"/>
      <c r="K30" s="16"/>
      <c r="L30" s="16"/>
      <c r="M30" s="16"/>
      <c r="N30" s="16"/>
      <c r="O30" s="16"/>
      <c r="P30" s="16"/>
      <c r="Q30" s="16"/>
      <c r="R30" s="16"/>
      <c r="S30" s="16"/>
      <c r="T30" s="16"/>
      <c r="U30" s="16"/>
      <c r="V30" s="16"/>
      <c r="W30" s="16"/>
      <c r="X30" s="16"/>
      <c r="Y30" s="16"/>
      <c r="Z30" s="16"/>
      <c r="AA30" s="16"/>
      <c r="AB30" s="16"/>
    </row>
    <row r="31" spans="1:28" ht="23.25" customHeight="1">
      <c r="A31" s="16"/>
      <c r="B31" s="142" t="s">
        <v>149</v>
      </c>
      <c r="C31" s="101"/>
      <c r="D31" s="102"/>
      <c r="E31" s="69">
        <f t="shared" ref="E31:G31" si="8">SUM(E21:E30)</f>
        <v>0</v>
      </c>
      <c r="F31" s="69">
        <f t="shared" si="8"/>
        <v>0</v>
      </c>
      <c r="G31" s="69">
        <f t="shared" si="8"/>
        <v>0</v>
      </c>
      <c r="H31" s="70" t="str">
        <f>IFERROR(F31/E31,"")</f>
        <v/>
      </c>
      <c r="I31" s="16"/>
      <c r="J31" s="16"/>
      <c r="K31" s="16"/>
      <c r="L31" s="16"/>
      <c r="M31" s="16"/>
      <c r="N31" s="16"/>
      <c r="O31" s="16"/>
      <c r="P31" s="16"/>
      <c r="Q31" s="16"/>
      <c r="R31" s="16"/>
      <c r="S31" s="16"/>
      <c r="T31" s="16"/>
      <c r="U31" s="16"/>
      <c r="V31" s="16"/>
      <c r="W31" s="16"/>
      <c r="X31" s="16"/>
      <c r="Y31" s="16"/>
      <c r="Z31" s="16"/>
      <c r="AA31" s="16"/>
      <c r="AB31" s="16"/>
    </row>
    <row r="32" spans="1:28" ht="13.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21.75" customHeight="1">
      <c r="A33" s="16"/>
      <c r="B33" s="113" t="s">
        <v>234</v>
      </c>
      <c r="C33" s="88"/>
      <c r="D33" s="88"/>
      <c r="E33" s="88"/>
      <c r="F33" s="88"/>
      <c r="G33" s="88"/>
      <c r="H33" s="88"/>
      <c r="I33" s="16"/>
      <c r="J33" s="16"/>
      <c r="K33" s="16"/>
      <c r="L33" s="16"/>
      <c r="M33" s="16"/>
      <c r="N33" s="16"/>
      <c r="O33" s="16"/>
      <c r="P33" s="16"/>
      <c r="Q33" s="16"/>
      <c r="R33" s="16"/>
      <c r="S33" s="16"/>
      <c r="T33" s="16"/>
      <c r="U33" s="16"/>
      <c r="V33" s="16"/>
      <c r="W33" s="16"/>
      <c r="X33" s="16"/>
      <c r="Y33" s="16"/>
      <c r="Z33" s="16"/>
      <c r="AA33" s="16"/>
      <c r="AB33" s="16"/>
    </row>
    <row r="34" spans="1:28" ht="21.75" customHeight="1">
      <c r="A34" s="16"/>
      <c r="B34" s="31" t="s">
        <v>181</v>
      </c>
      <c r="C34" s="143" t="s">
        <v>146</v>
      </c>
      <c r="D34" s="102"/>
      <c r="E34" s="83"/>
      <c r="F34" s="83"/>
      <c r="G34" s="31" t="s">
        <v>231</v>
      </c>
      <c r="H34" s="31" t="s">
        <v>232</v>
      </c>
      <c r="I34" s="16"/>
      <c r="J34" s="16"/>
      <c r="K34" s="16"/>
      <c r="L34" s="16"/>
      <c r="M34" s="16"/>
      <c r="N34" s="16"/>
      <c r="O34" s="16"/>
      <c r="P34" s="16"/>
      <c r="Q34" s="16"/>
      <c r="R34" s="16"/>
      <c r="S34" s="16"/>
      <c r="T34" s="16"/>
      <c r="U34" s="16"/>
      <c r="V34" s="16"/>
      <c r="W34" s="16"/>
      <c r="X34" s="16"/>
      <c r="Y34" s="16"/>
      <c r="Z34" s="16"/>
      <c r="AA34" s="16"/>
      <c r="AB34" s="16"/>
    </row>
    <row r="35" spans="1:28" ht="20.25" customHeight="1">
      <c r="A35" s="16"/>
      <c r="B35" s="48">
        <v>1</v>
      </c>
      <c r="C35" s="135" t="str">
        <f>'⚙️ Configuración'!F22&amp;"  "&amp;'⚙️ Configuración'!G22</f>
        <v>🍕  Salidas / Restaurantes</v>
      </c>
      <c r="D35" s="102"/>
      <c r="E35" s="81"/>
      <c r="F35" s="81"/>
      <c r="G35" s="49">
        <f t="shared" ref="G35:G43" si="9">E35-F35</f>
        <v>0</v>
      </c>
      <c r="H35" s="32" t="str">
        <f t="shared" ref="H35:H43" si="10">IFERROR(IF(E35=0,"",F35/E35),"")</f>
        <v/>
      </c>
      <c r="I35" s="16"/>
      <c r="J35" s="16"/>
      <c r="K35" s="16"/>
      <c r="L35" s="16"/>
      <c r="M35" s="16"/>
      <c r="N35" s="16"/>
      <c r="O35" s="16"/>
      <c r="P35" s="16"/>
      <c r="Q35" s="16"/>
      <c r="R35" s="16"/>
      <c r="S35" s="16"/>
      <c r="T35" s="16"/>
      <c r="U35" s="16"/>
      <c r="V35" s="16"/>
      <c r="W35" s="16"/>
      <c r="X35" s="16"/>
      <c r="Y35" s="16"/>
      <c r="Z35" s="16"/>
      <c r="AA35" s="16"/>
      <c r="AB35" s="16"/>
    </row>
    <row r="36" spans="1:28" ht="20.25" customHeight="1">
      <c r="A36" s="16"/>
      <c r="B36" s="48">
        <v>2</v>
      </c>
      <c r="C36" s="135" t="str">
        <f>'⚙️ Configuración'!F23&amp;"  "&amp;'⚙️ Configuración'!G23</f>
        <v>🎬  Ocio / Entretenimiento</v>
      </c>
      <c r="D36" s="102"/>
      <c r="E36" s="81"/>
      <c r="F36" s="81"/>
      <c r="G36" s="49">
        <f t="shared" si="9"/>
        <v>0</v>
      </c>
      <c r="H36" s="32" t="str">
        <f t="shared" si="10"/>
        <v/>
      </c>
      <c r="I36" s="16"/>
      <c r="J36" s="16"/>
      <c r="K36" s="16"/>
      <c r="L36" s="16"/>
      <c r="M36" s="16"/>
      <c r="N36" s="16"/>
      <c r="O36" s="16"/>
      <c r="P36" s="16"/>
      <c r="Q36" s="16"/>
      <c r="R36" s="16"/>
      <c r="S36" s="16"/>
      <c r="T36" s="16"/>
      <c r="U36" s="16"/>
      <c r="V36" s="16"/>
      <c r="W36" s="16"/>
      <c r="X36" s="16"/>
      <c r="Y36" s="16"/>
      <c r="Z36" s="16"/>
      <c r="AA36" s="16"/>
      <c r="AB36" s="16"/>
    </row>
    <row r="37" spans="1:28" ht="24.75" customHeight="1">
      <c r="A37" s="16"/>
      <c r="B37" s="48">
        <v>3</v>
      </c>
      <c r="C37" s="135" t="str">
        <f>'⚙️ Configuración'!F24&amp;"  "&amp;'⚙️ Configuración'!G24</f>
        <v>💄  Cuidado personal / Belleza</v>
      </c>
      <c r="D37" s="102"/>
      <c r="E37" s="81"/>
      <c r="F37" s="81"/>
      <c r="G37" s="49">
        <f t="shared" si="9"/>
        <v>0</v>
      </c>
      <c r="H37" s="32" t="str">
        <f t="shared" si="10"/>
        <v/>
      </c>
      <c r="I37" s="16"/>
      <c r="J37" s="16"/>
      <c r="K37" s="16"/>
      <c r="L37" s="16"/>
      <c r="M37" s="16"/>
      <c r="N37" s="16"/>
      <c r="O37" s="16"/>
      <c r="P37" s="16"/>
      <c r="Q37" s="16"/>
      <c r="R37" s="16"/>
      <c r="S37" s="16"/>
      <c r="T37" s="16"/>
      <c r="U37" s="16"/>
      <c r="V37" s="16"/>
      <c r="W37" s="16"/>
      <c r="X37" s="16"/>
      <c r="Y37" s="16"/>
      <c r="Z37" s="16"/>
      <c r="AA37" s="16"/>
      <c r="AB37" s="16"/>
    </row>
    <row r="38" spans="1:28" ht="20.25" customHeight="1">
      <c r="A38" s="16"/>
      <c r="B38" s="48">
        <v>4</v>
      </c>
      <c r="C38" s="135" t="str">
        <f>'⚙️ Configuración'!F25&amp;"  "&amp;'⚙️ Configuración'!G25</f>
        <v>👗  Ropa y Calzado</v>
      </c>
      <c r="D38" s="102"/>
      <c r="E38" s="81"/>
      <c r="F38" s="81"/>
      <c r="G38" s="49">
        <f t="shared" si="9"/>
        <v>0</v>
      </c>
      <c r="H38" s="32" t="str">
        <f t="shared" si="10"/>
        <v/>
      </c>
      <c r="I38" s="16"/>
      <c r="J38" s="16"/>
      <c r="K38" s="16"/>
      <c r="L38" s="16"/>
      <c r="M38" s="16"/>
      <c r="N38" s="16"/>
      <c r="O38" s="16"/>
      <c r="P38" s="16"/>
      <c r="Q38" s="16"/>
      <c r="R38" s="16"/>
      <c r="S38" s="16"/>
      <c r="T38" s="16"/>
      <c r="U38" s="16"/>
      <c r="V38" s="16"/>
      <c r="W38" s="16"/>
      <c r="X38" s="16"/>
      <c r="Y38" s="16"/>
      <c r="Z38" s="16"/>
      <c r="AA38" s="16"/>
      <c r="AB38" s="16"/>
    </row>
    <row r="39" spans="1:28" ht="20.25" customHeight="1">
      <c r="A39" s="16"/>
      <c r="B39" s="48">
        <v>5</v>
      </c>
      <c r="C39" s="135" t="str">
        <f>'⚙️ Configuración'!F26&amp;"  "&amp;'⚙️ Configuración'!G26</f>
        <v>✈️  Viajes / Vacaciones</v>
      </c>
      <c r="D39" s="102"/>
      <c r="E39" s="81"/>
      <c r="F39" s="81"/>
      <c r="G39" s="49">
        <f t="shared" si="9"/>
        <v>0</v>
      </c>
      <c r="H39" s="32" t="str">
        <f t="shared" si="10"/>
        <v/>
      </c>
      <c r="I39" s="16"/>
      <c r="J39" s="16"/>
      <c r="K39" s="16"/>
      <c r="L39" s="16"/>
      <c r="M39" s="16"/>
      <c r="N39" s="16"/>
      <c r="O39" s="16"/>
      <c r="P39" s="16"/>
      <c r="Q39" s="16"/>
      <c r="R39" s="16"/>
      <c r="S39" s="16"/>
      <c r="T39" s="16"/>
      <c r="U39" s="16"/>
      <c r="V39" s="16"/>
      <c r="W39" s="16"/>
      <c r="X39" s="16"/>
      <c r="Y39" s="16"/>
      <c r="Z39" s="16"/>
      <c r="AA39" s="16"/>
      <c r="AB39" s="16"/>
    </row>
    <row r="40" spans="1:28" ht="20.25" customHeight="1">
      <c r="A40" s="16"/>
      <c r="B40" s="48">
        <v>6</v>
      </c>
      <c r="C40" s="135" t="str">
        <f>'⚙️ Configuración'!F27&amp;"  "&amp;'⚙️ Configuración'!G27</f>
        <v>🎁  Regalos / Eventos</v>
      </c>
      <c r="D40" s="102"/>
      <c r="E40" s="81"/>
      <c r="F40" s="81"/>
      <c r="G40" s="49">
        <f t="shared" si="9"/>
        <v>0</v>
      </c>
      <c r="H40" s="32" t="str">
        <f t="shared" si="10"/>
        <v/>
      </c>
      <c r="I40" s="16"/>
      <c r="J40" s="16"/>
      <c r="K40" s="16"/>
      <c r="L40" s="16"/>
      <c r="M40" s="16"/>
      <c r="N40" s="16"/>
      <c r="O40" s="16"/>
      <c r="P40" s="16"/>
      <c r="Q40" s="16"/>
      <c r="R40" s="16"/>
      <c r="S40" s="16"/>
      <c r="T40" s="16"/>
      <c r="U40" s="16"/>
      <c r="V40" s="16"/>
      <c r="W40" s="16"/>
      <c r="X40" s="16"/>
      <c r="Y40" s="16"/>
      <c r="Z40" s="16"/>
      <c r="AA40" s="16"/>
      <c r="AB40" s="16"/>
    </row>
    <row r="41" spans="1:28" ht="20.25" customHeight="1">
      <c r="A41" s="16"/>
      <c r="B41" s="48">
        <v>7</v>
      </c>
      <c r="C41" s="135" t="str">
        <f>'⚙️ Configuración'!F28&amp;"  "&amp;'⚙️ Configuración'!G28</f>
        <v>📺  Suscripciones</v>
      </c>
      <c r="D41" s="102"/>
      <c r="E41" s="81"/>
      <c r="F41" s="81"/>
      <c r="G41" s="49">
        <f t="shared" si="9"/>
        <v>0</v>
      </c>
      <c r="H41" s="32" t="str">
        <f t="shared" si="10"/>
        <v/>
      </c>
      <c r="I41" s="16"/>
      <c r="J41" s="16"/>
      <c r="K41" s="16"/>
      <c r="L41" s="16"/>
      <c r="M41" s="16"/>
      <c r="N41" s="16"/>
      <c r="O41" s="16"/>
      <c r="P41" s="16"/>
      <c r="Q41" s="16"/>
      <c r="R41" s="16"/>
      <c r="S41" s="16"/>
      <c r="T41" s="16"/>
      <c r="U41" s="16"/>
      <c r="V41" s="16"/>
      <c r="W41" s="16"/>
      <c r="X41" s="16"/>
      <c r="Y41" s="16"/>
      <c r="Z41" s="16"/>
      <c r="AA41" s="16"/>
      <c r="AB41" s="16"/>
    </row>
    <row r="42" spans="1:28" ht="20.25" customHeight="1">
      <c r="A42" s="16"/>
      <c r="B42" s="48">
        <v>8</v>
      </c>
      <c r="C42" s="135" t="str">
        <f>'⚙️ Configuración'!F29&amp;"  "&amp;'⚙️ Configuración'!G29</f>
        <v>🏋️  Deporte / Gym</v>
      </c>
      <c r="D42" s="102"/>
      <c r="E42" s="81"/>
      <c r="F42" s="81"/>
      <c r="G42" s="49">
        <f t="shared" si="9"/>
        <v>0</v>
      </c>
      <c r="H42" s="32" t="str">
        <f t="shared" si="10"/>
        <v/>
      </c>
      <c r="I42" s="16"/>
      <c r="J42" s="16"/>
      <c r="K42" s="16"/>
      <c r="L42" s="16"/>
      <c r="M42" s="16"/>
      <c r="N42" s="16"/>
      <c r="O42" s="16"/>
      <c r="P42" s="16"/>
      <c r="Q42" s="16"/>
      <c r="R42" s="16"/>
      <c r="S42" s="16"/>
      <c r="T42" s="16"/>
      <c r="U42" s="16"/>
      <c r="V42" s="16"/>
      <c r="W42" s="16"/>
      <c r="X42" s="16"/>
      <c r="Y42" s="16"/>
      <c r="Z42" s="16"/>
      <c r="AA42" s="16"/>
      <c r="AB42" s="16"/>
    </row>
    <row r="43" spans="1:28" ht="20.25" customHeight="1">
      <c r="A43" s="16"/>
      <c r="B43" s="48">
        <v>9</v>
      </c>
      <c r="C43" s="135" t="str">
        <f>'⚙️ Configuración'!F30&amp;"  "&amp;'⚙️ Configuración'!G30</f>
        <v>🛍️  Compras varias</v>
      </c>
      <c r="D43" s="102"/>
      <c r="E43" s="81"/>
      <c r="F43" s="81"/>
      <c r="G43" s="49">
        <f t="shared" si="9"/>
        <v>0</v>
      </c>
      <c r="H43" s="32" t="str">
        <f t="shared" si="10"/>
        <v/>
      </c>
      <c r="I43" s="16"/>
      <c r="J43" s="16"/>
      <c r="K43" s="16"/>
      <c r="L43" s="16"/>
      <c r="M43" s="16"/>
      <c r="N43" s="16"/>
      <c r="O43" s="16"/>
      <c r="P43" s="16"/>
      <c r="Q43" s="16"/>
      <c r="R43" s="16"/>
      <c r="S43" s="16"/>
      <c r="T43" s="16"/>
      <c r="U43" s="16"/>
      <c r="V43" s="16"/>
      <c r="W43" s="16"/>
      <c r="X43" s="16"/>
      <c r="Y43" s="16"/>
      <c r="Z43" s="16"/>
      <c r="AA43" s="16"/>
      <c r="AB43" s="16"/>
    </row>
    <row r="44" spans="1:28" ht="23.25" customHeight="1">
      <c r="A44" s="16"/>
      <c r="B44" s="155" t="s">
        <v>149</v>
      </c>
      <c r="C44" s="101"/>
      <c r="D44" s="102"/>
      <c r="E44" s="71">
        <f t="shared" ref="E44:G44" si="11">SUM(E35:E43)</f>
        <v>0</v>
      </c>
      <c r="F44" s="71">
        <f t="shared" si="11"/>
        <v>0</v>
      </c>
      <c r="G44" s="71">
        <f t="shared" si="11"/>
        <v>0</v>
      </c>
      <c r="H44" s="72" t="str">
        <f>IFERROR(F44/E44,"")</f>
        <v/>
      </c>
      <c r="I44" s="16"/>
      <c r="J44" s="16"/>
      <c r="K44" s="16"/>
      <c r="L44" s="16"/>
      <c r="M44" s="16"/>
      <c r="N44" s="16"/>
      <c r="O44" s="16"/>
      <c r="P44" s="16"/>
      <c r="Q44" s="16"/>
      <c r="R44" s="16"/>
      <c r="S44" s="16"/>
      <c r="T44" s="16"/>
      <c r="U44" s="16"/>
      <c r="V44" s="16"/>
      <c r="W44" s="16"/>
      <c r="X44" s="16"/>
      <c r="Y44" s="16"/>
      <c r="Z44" s="16"/>
      <c r="AA44" s="16"/>
      <c r="AB44" s="16"/>
    </row>
    <row r="45" spans="1:28"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21.75" customHeight="1">
      <c r="A46" s="16"/>
      <c r="B46" s="113" t="s">
        <v>235</v>
      </c>
      <c r="C46" s="88"/>
      <c r="D46" s="88"/>
      <c r="E46" s="88"/>
      <c r="F46" s="88"/>
      <c r="G46" s="88"/>
      <c r="H46" s="88"/>
      <c r="I46" s="16"/>
      <c r="J46" s="16"/>
      <c r="K46" s="16"/>
      <c r="L46" s="16"/>
      <c r="M46" s="16"/>
      <c r="N46" s="16"/>
      <c r="O46" s="16"/>
      <c r="P46" s="16"/>
      <c r="Q46" s="16"/>
      <c r="R46" s="16"/>
      <c r="S46" s="16"/>
      <c r="T46" s="16"/>
      <c r="U46" s="16"/>
      <c r="V46" s="16"/>
      <c r="W46" s="16"/>
      <c r="X46" s="16"/>
      <c r="Y46" s="16"/>
      <c r="Z46" s="16"/>
      <c r="AA46" s="16"/>
      <c r="AB46" s="16"/>
    </row>
    <row r="47" spans="1:28" ht="21.75" customHeight="1">
      <c r="A47" s="16"/>
      <c r="B47" s="31" t="s">
        <v>181</v>
      </c>
      <c r="C47" s="143" t="s">
        <v>146</v>
      </c>
      <c r="D47" s="102"/>
      <c r="E47" s="31" t="s">
        <v>218</v>
      </c>
      <c r="F47" s="31" t="s">
        <v>219</v>
      </c>
      <c r="G47" s="31" t="s">
        <v>231</v>
      </c>
      <c r="H47" s="31" t="s">
        <v>232</v>
      </c>
      <c r="I47" s="16"/>
      <c r="J47" s="16"/>
      <c r="K47" s="16"/>
      <c r="L47" s="16"/>
      <c r="M47" s="16"/>
      <c r="N47" s="16"/>
      <c r="O47" s="16"/>
      <c r="P47" s="16"/>
      <c r="Q47" s="16"/>
      <c r="R47" s="16"/>
      <c r="S47" s="16"/>
      <c r="T47" s="16"/>
      <c r="U47" s="16"/>
      <c r="V47" s="16"/>
      <c r="W47" s="16"/>
      <c r="X47" s="16"/>
      <c r="Y47" s="16"/>
      <c r="Z47" s="16"/>
      <c r="AA47" s="16"/>
      <c r="AB47" s="16"/>
    </row>
    <row r="48" spans="1:28" ht="20.25" customHeight="1">
      <c r="A48" s="16"/>
      <c r="B48" s="48">
        <v>1</v>
      </c>
      <c r="C48" s="135" t="str">
        <f>'⚙️ Configuración'!F33&amp;"  "&amp;'⚙️ Configuración'!G33</f>
        <v>🛡️  Fondo de emergencia</v>
      </c>
      <c r="D48" s="102"/>
      <c r="E48" s="81"/>
      <c r="F48" s="81"/>
      <c r="G48" s="49">
        <f t="shared" ref="G48:G51" si="12">F48-E48</f>
        <v>0</v>
      </c>
      <c r="H48" s="32" t="str">
        <f t="shared" ref="H48:H51" si="13">IFERROR(IF(E48=0,"",F48/E48),"")</f>
        <v/>
      </c>
      <c r="I48" s="16"/>
      <c r="J48" s="16"/>
      <c r="K48" s="16"/>
      <c r="L48" s="16"/>
      <c r="M48" s="16"/>
      <c r="N48" s="16"/>
      <c r="O48" s="16"/>
      <c r="P48" s="16"/>
      <c r="Q48" s="16"/>
      <c r="R48" s="16"/>
      <c r="S48" s="16"/>
      <c r="T48" s="16"/>
      <c r="U48" s="16"/>
      <c r="V48" s="16"/>
      <c r="W48" s="16"/>
      <c r="X48" s="16"/>
      <c r="Y48" s="16"/>
      <c r="Z48" s="16"/>
      <c r="AA48" s="16"/>
      <c r="AB48" s="16"/>
    </row>
    <row r="49" spans="1:28" ht="20.25" customHeight="1">
      <c r="A49" s="16"/>
      <c r="B49" s="48">
        <v>2</v>
      </c>
      <c r="C49" s="135" t="str">
        <f>'⚙️ Configuración'!F34&amp;"  "&amp;'⚙️ Configuración'!G34</f>
        <v>🎯  Metas (viaje, casa, auto)</v>
      </c>
      <c r="D49" s="102"/>
      <c r="E49" s="81"/>
      <c r="F49" s="81"/>
      <c r="G49" s="49">
        <f t="shared" si="12"/>
        <v>0</v>
      </c>
      <c r="H49" s="32" t="str">
        <f t="shared" si="13"/>
        <v/>
      </c>
      <c r="I49" s="16"/>
      <c r="J49" s="16"/>
      <c r="K49" s="16"/>
      <c r="L49" s="16"/>
      <c r="M49" s="16"/>
      <c r="N49" s="16"/>
      <c r="O49" s="16"/>
      <c r="P49" s="16"/>
      <c r="Q49" s="16"/>
      <c r="R49" s="16"/>
      <c r="S49" s="16"/>
      <c r="T49" s="16"/>
      <c r="U49" s="16"/>
      <c r="V49" s="16"/>
      <c r="W49" s="16"/>
      <c r="X49" s="16"/>
      <c r="Y49" s="16"/>
      <c r="Z49" s="16"/>
      <c r="AA49" s="16"/>
      <c r="AB49" s="16"/>
    </row>
    <row r="50" spans="1:28" ht="20.25" customHeight="1">
      <c r="A50" s="16"/>
      <c r="B50" s="48">
        <v>3</v>
      </c>
      <c r="C50" s="135" t="str">
        <f>'⚙️ Configuración'!F35&amp;"  "&amp;'⚙️ Configuración'!G35</f>
        <v>📈  Inversiones / Plazo fijo</v>
      </c>
      <c r="D50" s="102"/>
      <c r="E50" s="81"/>
      <c r="F50" s="81"/>
      <c r="G50" s="49">
        <f t="shared" si="12"/>
        <v>0</v>
      </c>
      <c r="H50" s="32" t="str">
        <f t="shared" si="13"/>
        <v/>
      </c>
      <c r="I50" s="16"/>
      <c r="J50" s="16"/>
      <c r="K50" s="16"/>
      <c r="L50" s="16"/>
      <c r="M50" s="16"/>
      <c r="N50" s="16"/>
      <c r="O50" s="16"/>
      <c r="P50" s="16"/>
      <c r="Q50" s="16"/>
      <c r="R50" s="16"/>
      <c r="S50" s="16"/>
      <c r="T50" s="16"/>
      <c r="U50" s="16"/>
      <c r="V50" s="16"/>
      <c r="W50" s="16"/>
      <c r="X50" s="16"/>
      <c r="Y50" s="16"/>
      <c r="Z50" s="16"/>
      <c r="AA50" s="16"/>
      <c r="AB50" s="16"/>
    </row>
    <row r="51" spans="1:28" ht="20.25" customHeight="1">
      <c r="A51" s="16"/>
      <c r="B51" s="48">
        <v>4</v>
      </c>
      <c r="C51" s="135" t="str">
        <f>'⚙️ Configuración'!F36&amp;"  "&amp;'⚙️ Configuración'!G36</f>
        <v>💎  Otros ahorros</v>
      </c>
      <c r="D51" s="102"/>
      <c r="E51" s="81"/>
      <c r="F51" s="81"/>
      <c r="G51" s="49">
        <f t="shared" si="12"/>
        <v>0</v>
      </c>
      <c r="H51" s="32" t="str">
        <f t="shared" si="13"/>
        <v/>
      </c>
      <c r="I51" s="16"/>
      <c r="J51" s="16"/>
      <c r="K51" s="16"/>
      <c r="L51" s="16"/>
      <c r="M51" s="16"/>
      <c r="N51" s="16"/>
      <c r="O51" s="16"/>
      <c r="P51" s="16"/>
      <c r="Q51" s="16"/>
      <c r="R51" s="16"/>
      <c r="S51" s="16"/>
      <c r="T51" s="16"/>
      <c r="U51" s="16"/>
      <c r="V51" s="16"/>
      <c r="W51" s="16"/>
      <c r="X51" s="16"/>
      <c r="Y51" s="16"/>
      <c r="Z51" s="16"/>
      <c r="AA51" s="16"/>
      <c r="AB51" s="16"/>
    </row>
    <row r="52" spans="1:28" ht="23.25" customHeight="1">
      <c r="A52" s="16"/>
      <c r="B52" s="142" t="s">
        <v>149</v>
      </c>
      <c r="C52" s="101"/>
      <c r="D52" s="102"/>
      <c r="E52" s="69">
        <f t="shared" ref="E52:G52" si="14">SUM(E48:E51)</f>
        <v>0</v>
      </c>
      <c r="F52" s="69">
        <f t="shared" si="14"/>
        <v>0</v>
      </c>
      <c r="G52" s="69">
        <f t="shared" si="14"/>
        <v>0</v>
      </c>
      <c r="H52" s="70" t="str">
        <f>IFERROR(F52/E52,"")</f>
        <v/>
      </c>
      <c r="I52" s="16"/>
      <c r="J52" s="16"/>
      <c r="K52" s="16"/>
      <c r="L52" s="16"/>
      <c r="M52" s="16"/>
      <c r="N52" s="16"/>
      <c r="O52" s="16"/>
      <c r="P52" s="16"/>
      <c r="Q52" s="16"/>
      <c r="R52" s="16"/>
      <c r="S52" s="16"/>
      <c r="T52" s="16"/>
      <c r="U52" s="16"/>
      <c r="V52" s="16"/>
      <c r="W52" s="16"/>
      <c r="X52" s="16"/>
      <c r="Y52" s="16"/>
      <c r="Z52" s="16"/>
      <c r="AA52" s="16"/>
      <c r="AB52" s="16"/>
    </row>
    <row r="53" spans="1:28"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21.75" customHeight="1">
      <c r="A54" s="16"/>
      <c r="B54" s="129" t="s">
        <v>236</v>
      </c>
      <c r="C54" s="88"/>
      <c r="D54" s="88"/>
      <c r="E54" s="88"/>
      <c r="F54" s="88"/>
      <c r="G54" s="88"/>
      <c r="H54" s="88"/>
      <c r="I54" s="16"/>
      <c r="J54" s="16"/>
      <c r="K54" s="16"/>
      <c r="L54" s="16"/>
      <c r="M54" s="16"/>
      <c r="N54" s="16"/>
      <c r="O54" s="16"/>
      <c r="P54" s="16"/>
      <c r="Q54" s="16"/>
      <c r="R54" s="16"/>
      <c r="S54" s="16"/>
      <c r="T54" s="16"/>
      <c r="U54" s="16"/>
      <c r="V54" s="16"/>
      <c r="W54" s="16"/>
      <c r="X54" s="16"/>
      <c r="Y54" s="16"/>
      <c r="Z54" s="16"/>
      <c r="AA54" s="16"/>
      <c r="AB54" s="16"/>
    </row>
    <row r="55" spans="1:28" ht="20.25" customHeight="1">
      <c r="A55" s="16"/>
      <c r="B55" s="135" t="s">
        <v>237</v>
      </c>
      <c r="C55" s="101"/>
      <c r="D55" s="101"/>
      <c r="E55" s="102"/>
      <c r="F55" s="147">
        <f>F17</f>
        <v>0</v>
      </c>
      <c r="G55" s="101"/>
      <c r="H55" s="102"/>
      <c r="I55" s="16"/>
      <c r="J55" s="16"/>
      <c r="K55" s="16"/>
      <c r="L55" s="16"/>
      <c r="M55" s="16"/>
      <c r="N55" s="16"/>
      <c r="O55" s="16"/>
      <c r="P55" s="16"/>
      <c r="Q55" s="16"/>
      <c r="R55" s="16"/>
      <c r="S55" s="16"/>
      <c r="T55" s="16"/>
      <c r="U55" s="16"/>
      <c r="V55" s="16"/>
      <c r="W55" s="16"/>
      <c r="X55" s="16"/>
      <c r="Y55" s="16"/>
      <c r="Z55" s="16"/>
      <c r="AA55" s="16"/>
      <c r="AB55" s="16"/>
    </row>
    <row r="56" spans="1:28" ht="15.75" customHeight="1">
      <c r="A56" s="16"/>
      <c r="B56" s="142" t="s">
        <v>238</v>
      </c>
      <c r="C56" s="101"/>
      <c r="D56" s="101"/>
      <c r="E56" s="101"/>
      <c r="F56" s="101"/>
      <c r="G56" s="101"/>
      <c r="H56" s="102"/>
      <c r="I56" s="16"/>
      <c r="J56" s="16"/>
      <c r="K56" s="16"/>
      <c r="L56" s="16"/>
      <c r="M56" s="16"/>
      <c r="N56" s="16"/>
      <c r="O56" s="16"/>
      <c r="P56" s="16"/>
      <c r="Q56" s="16"/>
      <c r="R56" s="16"/>
      <c r="S56" s="16"/>
      <c r="T56" s="16"/>
      <c r="U56" s="16"/>
      <c r="V56" s="16"/>
      <c r="W56" s="16"/>
      <c r="X56" s="16"/>
      <c r="Y56" s="16"/>
      <c r="Z56" s="16"/>
      <c r="AA56" s="16"/>
      <c r="AB56" s="16"/>
    </row>
    <row r="57" spans="1:28" ht="15.75" customHeight="1">
      <c r="A57" s="16"/>
      <c r="B57" s="27" t="s">
        <v>239</v>
      </c>
      <c r="C57" s="139" t="s">
        <v>240</v>
      </c>
      <c r="D57" s="88"/>
      <c r="E57" s="88"/>
      <c r="F57" s="88"/>
      <c r="G57" s="65" t="s">
        <v>185</v>
      </c>
      <c r="H57" s="27" t="s">
        <v>241</v>
      </c>
      <c r="I57" s="16"/>
      <c r="J57" s="16"/>
      <c r="K57" s="16"/>
      <c r="L57" s="16"/>
      <c r="M57" s="16"/>
      <c r="N57" s="16"/>
      <c r="O57" s="16"/>
      <c r="P57" s="16"/>
      <c r="Q57" s="16"/>
      <c r="R57" s="16"/>
      <c r="S57" s="16"/>
      <c r="T57" s="16"/>
      <c r="U57" s="16"/>
      <c r="V57" s="16"/>
      <c r="W57" s="16"/>
      <c r="X57" s="16"/>
      <c r="Y57" s="16"/>
      <c r="Z57" s="16"/>
      <c r="AA57" s="16"/>
      <c r="AB57" s="16"/>
    </row>
    <row r="58" spans="1:28" ht="15.75" customHeight="1">
      <c r="A58" s="16"/>
      <c r="B58" s="84" t="s">
        <v>145</v>
      </c>
      <c r="C58" s="137"/>
      <c r="D58" s="88"/>
      <c r="E58" s="88"/>
      <c r="F58" s="88"/>
      <c r="G58" s="79"/>
      <c r="H58" s="84"/>
      <c r="I58" s="16"/>
      <c r="J58" s="16"/>
      <c r="K58" s="16"/>
      <c r="L58" s="16"/>
      <c r="M58" s="16"/>
      <c r="N58" s="16"/>
      <c r="O58" s="16"/>
      <c r="P58" s="16"/>
      <c r="Q58" s="16"/>
      <c r="R58" s="16"/>
      <c r="S58" s="16"/>
      <c r="T58" s="16"/>
      <c r="U58" s="16"/>
      <c r="V58" s="16"/>
      <c r="W58" s="16"/>
      <c r="X58" s="16"/>
      <c r="Y58" s="16"/>
      <c r="Z58" s="16"/>
      <c r="AA58" s="16"/>
      <c r="AB58" s="16"/>
    </row>
    <row r="59" spans="1:28" ht="15.75" customHeight="1">
      <c r="A59" s="16"/>
      <c r="B59" s="77" t="s">
        <v>145</v>
      </c>
      <c r="C59" s="138"/>
      <c r="D59" s="88"/>
      <c r="E59" s="88"/>
      <c r="F59" s="88"/>
      <c r="G59" s="78"/>
      <c r="H59" s="77"/>
      <c r="I59" s="16"/>
      <c r="J59" s="16"/>
      <c r="K59" s="16"/>
      <c r="L59" s="16"/>
      <c r="M59" s="16"/>
      <c r="N59" s="16"/>
      <c r="O59" s="16"/>
      <c r="P59" s="16"/>
      <c r="Q59" s="16"/>
      <c r="R59" s="16"/>
      <c r="S59" s="16"/>
      <c r="T59" s="16"/>
      <c r="U59" s="16"/>
      <c r="V59" s="16"/>
      <c r="W59" s="16"/>
      <c r="X59" s="16"/>
      <c r="Y59" s="16"/>
      <c r="Z59" s="16"/>
      <c r="AA59" s="16"/>
      <c r="AB59" s="16"/>
    </row>
    <row r="60" spans="1:28" ht="15.75" customHeight="1">
      <c r="A60" s="16"/>
      <c r="B60" s="84" t="s">
        <v>145</v>
      </c>
      <c r="C60" s="137"/>
      <c r="D60" s="88"/>
      <c r="E60" s="88"/>
      <c r="F60" s="88"/>
      <c r="G60" s="79"/>
      <c r="H60" s="84"/>
      <c r="I60" s="16"/>
      <c r="J60" s="16"/>
      <c r="K60" s="16"/>
      <c r="L60" s="16"/>
      <c r="M60" s="16"/>
      <c r="N60" s="16"/>
      <c r="O60" s="16"/>
      <c r="P60" s="16"/>
      <c r="Q60" s="16"/>
      <c r="R60" s="16"/>
      <c r="S60" s="16"/>
      <c r="T60" s="16"/>
      <c r="U60" s="16"/>
      <c r="V60" s="16"/>
      <c r="W60" s="16"/>
      <c r="X60" s="16"/>
      <c r="Y60" s="16"/>
      <c r="Z60" s="16"/>
      <c r="AA60" s="16"/>
      <c r="AB60" s="16"/>
    </row>
    <row r="61" spans="1:28" ht="15.75" customHeight="1">
      <c r="A61" s="16"/>
      <c r="B61" s="77" t="s">
        <v>145</v>
      </c>
      <c r="C61" s="138"/>
      <c r="D61" s="88"/>
      <c r="E61" s="88"/>
      <c r="F61" s="88"/>
      <c r="G61" s="78"/>
      <c r="H61" s="77"/>
      <c r="I61" s="16"/>
      <c r="J61" s="16"/>
      <c r="K61" s="16"/>
      <c r="L61" s="16"/>
      <c r="M61" s="16"/>
      <c r="N61" s="16"/>
      <c r="O61" s="16"/>
      <c r="P61" s="16"/>
      <c r="Q61" s="16"/>
      <c r="R61" s="16"/>
      <c r="S61" s="16"/>
      <c r="T61" s="16"/>
      <c r="U61" s="16"/>
      <c r="V61" s="16"/>
      <c r="W61" s="16"/>
      <c r="X61" s="16"/>
      <c r="Y61" s="16"/>
      <c r="Z61" s="16"/>
      <c r="AA61" s="16"/>
      <c r="AB61" s="16"/>
    </row>
    <row r="62" spans="1:28" ht="15.75" customHeight="1">
      <c r="A62" s="16"/>
      <c r="B62" s="84" t="s">
        <v>145</v>
      </c>
      <c r="C62" s="137"/>
      <c r="D62" s="88"/>
      <c r="E62" s="88"/>
      <c r="F62" s="88"/>
      <c r="G62" s="79"/>
      <c r="H62" s="84"/>
      <c r="I62" s="16"/>
      <c r="J62" s="16"/>
      <c r="K62" s="16"/>
      <c r="L62" s="16"/>
      <c r="M62" s="16"/>
      <c r="N62" s="16"/>
      <c r="O62" s="16"/>
      <c r="P62" s="16"/>
      <c r="Q62" s="16"/>
      <c r="R62" s="16"/>
      <c r="S62" s="16"/>
      <c r="T62" s="16"/>
      <c r="U62" s="16"/>
      <c r="V62" s="16"/>
      <c r="W62" s="16"/>
      <c r="X62" s="16"/>
      <c r="Y62" s="16"/>
      <c r="Z62" s="16"/>
      <c r="AA62" s="16"/>
      <c r="AB62" s="16"/>
    </row>
    <row r="63" spans="1:28" ht="15.75" customHeight="1">
      <c r="A63" s="16"/>
      <c r="B63" s="77" t="s">
        <v>145</v>
      </c>
      <c r="C63" s="138"/>
      <c r="D63" s="88"/>
      <c r="E63" s="88"/>
      <c r="F63" s="88"/>
      <c r="G63" s="78"/>
      <c r="H63" s="77"/>
      <c r="I63" s="16"/>
      <c r="J63" s="16"/>
      <c r="K63" s="16"/>
      <c r="L63" s="16"/>
      <c r="M63" s="16"/>
      <c r="N63" s="16"/>
      <c r="O63" s="16"/>
      <c r="P63" s="16"/>
      <c r="Q63" s="16"/>
      <c r="R63" s="16"/>
      <c r="S63" s="16"/>
      <c r="T63" s="16"/>
      <c r="U63" s="16"/>
      <c r="V63" s="16"/>
      <c r="W63" s="16"/>
      <c r="X63" s="16"/>
      <c r="Y63" s="16"/>
      <c r="Z63" s="16"/>
      <c r="AA63" s="16"/>
      <c r="AB63" s="16"/>
    </row>
    <row r="64" spans="1:28" ht="15.75" customHeight="1">
      <c r="A64" s="16"/>
      <c r="B64" s="84" t="s">
        <v>145</v>
      </c>
      <c r="C64" s="137"/>
      <c r="D64" s="88"/>
      <c r="E64" s="88"/>
      <c r="F64" s="88"/>
      <c r="G64" s="79"/>
      <c r="H64" s="84"/>
      <c r="I64" s="16"/>
      <c r="J64" s="16"/>
      <c r="K64" s="16"/>
      <c r="L64" s="16"/>
      <c r="M64" s="16"/>
      <c r="N64" s="16"/>
      <c r="O64" s="16"/>
      <c r="P64" s="16"/>
      <c r="Q64" s="16"/>
      <c r="R64" s="16"/>
      <c r="S64" s="16"/>
      <c r="T64" s="16"/>
      <c r="U64" s="16"/>
      <c r="V64" s="16"/>
      <c r="W64" s="16"/>
      <c r="X64" s="16"/>
      <c r="Y64" s="16"/>
      <c r="Z64" s="16"/>
      <c r="AA64" s="16"/>
      <c r="AB64" s="16"/>
    </row>
    <row r="65" spans="1:28" ht="15.75" customHeight="1">
      <c r="A65" s="16"/>
      <c r="B65" s="77" t="s">
        <v>145</v>
      </c>
      <c r="C65" s="138"/>
      <c r="D65" s="88"/>
      <c r="E65" s="88"/>
      <c r="F65" s="88"/>
      <c r="G65" s="78"/>
      <c r="H65" s="77"/>
      <c r="I65" s="16"/>
      <c r="J65" s="16"/>
      <c r="K65" s="16"/>
      <c r="L65" s="16"/>
      <c r="M65" s="16"/>
      <c r="N65" s="16"/>
      <c r="O65" s="16"/>
      <c r="P65" s="16"/>
      <c r="Q65" s="16"/>
      <c r="R65" s="16"/>
      <c r="S65" s="16"/>
      <c r="T65" s="16"/>
      <c r="U65" s="16"/>
      <c r="V65" s="16"/>
      <c r="W65" s="16"/>
      <c r="X65" s="16"/>
      <c r="Y65" s="16"/>
      <c r="Z65" s="16"/>
      <c r="AA65" s="16"/>
      <c r="AB65" s="16"/>
    </row>
    <row r="66" spans="1:28" ht="15.75" customHeight="1">
      <c r="A66" s="16"/>
      <c r="B66" s="84" t="s">
        <v>145</v>
      </c>
      <c r="C66" s="137"/>
      <c r="D66" s="88"/>
      <c r="E66" s="88"/>
      <c r="F66" s="88"/>
      <c r="G66" s="79"/>
      <c r="H66" s="84"/>
      <c r="I66" s="16"/>
      <c r="J66" s="16"/>
      <c r="K66" s="16"/>
      <c r="L66" s="16"/>
      <c r="M66" s="16"/>
      <c r="N66" s="16"/>
      <c r="O66" s="16"/>
      <c r="P66" s="16"/>
      <c r="Q66" s="16"/>
      <c r="R66" s="16"/>
      <c r="S66" s="16"/>
      <c r="T66" s="16"/>
      <c r="U66" s="16"/>
      <c r="V66" s="16"/>
      <c r="W66" s="16"/>
      <c r="X66" s="16"/>
      <c r="Y66" s="16"/>
      <c r="Z66" s="16"/>
      <c r="AA66" s="16"/>
      <c r="AB66" s="16"/>
    </row>
    <row r="67" spans="1:28" ht="15.75" customHeight="1">
      <c r="A67" s="16"/>
      <c r="B67" s="26" t="s">
        <v>145</v>
      </c>
      <c r="C67" s="140"/>
      <c r="D67" s="88"/>
      <c r="E67" s="88"/>
      <c r="F67" s="88"/>
      <c r="G67" s="29"/>
      <c r="H67" s="26"/>
      <c r="I67" s="16"/>
      <c r="J67" s="16"/>
      <c r="K67" s="16"/>
      <c r="L67" s="16"/>
      <c r="M67" s="16"/>
      <c r="N67" s="16"/>
      <c r="O67" s="16"/>
      <c r="P67" s="16"/>
      <c r="Q67" s="16"/>
      <c r="R67" s="16"/>
      <c r="S67" s="16"/>
      <c r="T67" s="16"/>
      <c r="U67" s="16"/>
      <c r="V67" s="16"/>
      <c r="W67" s="16"/>
      <c r="X67" s="16"/>
      <c r="Y67" s="16"/>
      <c r="Z67" s="16"/>
      <c r="AA67" s="16"/>
      <c r="AB67" s="16"/>
    </row>
    <row r="68" spans="1:28" ht="18.75" customHeight="1">
      <c r="A68" s="16"/>
      <c r="B68" s="141" t="s">
        <v>242</v>
      </c>
      <c r="C68" s="88"/>
      <c r="D68" s="88"/>
      <c r="E68" s="88"/>
      <c r="F68" s="88"/>
      <c r="G68" s="30">
        <f>SUM(G58:G67)</f>
        <v>0</v>
      </c>
      <c r="H68" s="73"/>
      <c r="I68" s="16"/>
      <c r="J68" s="16"/>
      <c r="K68" s="16"/>
      <c r="L68" s="16"/>
      <c r="M68" s="16"/>
      <c r="N68" s="16"/>
      <c r="O68" s="16"/>
      <c r="P68" s="16"/>
      <c r="Q68" s="16"/>
      <c r="R68" s="16"/>
      <c r="S68" s="16"/>
      <c r="T68" s="16"/>
      <c r="U68" s="16"/>
      <c r="V68" s="16"/>
      <c r="W68" s="16"/>
      <c r="X68" s="16"/>
      <c r="Y68" s="16"/>
      <c r="Z68" s="16"/>
      <c r="AA68" s="16"/>
      <c r="AB68" s="16"/>
    </row>
    <row r="69" spans="1:28"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3.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3.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3.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5.75" customHeight="1"/>
    <row r="270" spans="1:28" ht="15.75" customHeight="1"/>
    <row r="271" spans="1:28" ht="15.75" customHeight="1"/>
    <row r="272" spans="1:28"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formatCells="0" formatColumns="0" formatRows="0" insertColumns="0" insertRows="0" deleteColumns="0" deleteRows="0" sort="0" autoFilter="0"/>
  <mergeCells count="68">
    <mergeCell ref="C42:D42"/>
    <mergeCell ref="C43:D43"/>
    <mergeCell ref="B44:D44"/>
    <mergeCell ref="B46:H46"/>
    <mergeCell ref="C47:D47"/>
    <mergeCell ref="C48:D48"/>
    <mergeCell ref="C49:D49"/>
    <mergeCell ref="C50:D50"/>
    <mergeCell ref="C51:D51"/>
    <mergeCell ref="B52:D52"/>
    <mergeCell ref="B54:H54"/>
    <mergeCell ref="B55:E55"/>
    <mergeCell ref="F55:H55"/>
    <mergeCell ref="B56:H56"/>
    <mergeCell ref="B2:D2"/>
    <mergeCell ref="B5:C5"/>
    <mergeCell ref="D5:E5"/>
    <mergeCell ref="F5:H5"/>
    <mergeCell ref="B6:H6"/>
    <mergeCell ref="B7:H7"/>
    <mergeCell ref="B9:H9"/>
    <mergeCell ref="C10:D10"/>
    <mergeCell ref="C11:D11"/>
    <mergeCell ref="C12:D12"/>
    <mergeCell ref="C13:D13"/>
    <mergeCell ref="C14:D14"/>
    <mergeCell ref="M2:S2"/>
    <mergeCell ref="I3:L3"/>
    <mergeCell ref="B4:C4"/>
    <mergeCell ref="D4:E4"/>
    <mergeCell ref="F4:H4"/>
    <mergeCell ref="C15:D15"/>
    <mergeCell ref="C16:D16"/>
    <mergeCell ref="B17:D17"/>
    <mergeCell ref="B19:H19"/>
    <mergeCell ref="C20:D20"/>
    <mergeCell ref="C21:D21"/>
    <mergeCell ref="C22:D22"/>
    <mergeCell ref="C23:D23"/>
    <mergeCell ref="C24:D24"/>
    <mergeCell ref="C25:D25"/>
    <mergeCell ref="C26:D26"/>
    <mergeCell ref="C27:D27"/>
    <mergeCell ref="C28:D28"/>
    <mergeCell ref="C29:D29"/>
    <mergeCell ref="C30:D30"/>
    <mergeCell ref="B31:D31"/>
    <mergeCell ref="B33:H33"/>
    <mergeCell ref="C34:D34"/>
    <mergeCell ref="C35:D35"/>
    <mergeCell ref="C36:D36"/>
    <mergeCell ref="C37:D37"/>
    <mergeCell ref="C38:D38"/>
    <mergeCell ref="C39:D39"/>
    <mergeCell ref="C40:D40"/>
    <mergeCell ref="C41:D41"/>
    <mergeCell ref="C64:F64"/>
    <mergeCell ref="C65:F65"/>
    <mergeCell ref="C66:F66"/>
    <mergeCell ref="C67:F67"/>
    <mergeCell ref="B68:F68"/>
    <mergeCell ref="C62:F62"/>
    <mergeCell ref="C63:F63"/>
    <mergeCell ref="C57:F57"/>
    <mergeCell ref="C58:F58"/>
    <mergeCell ref="C59:F59"/>
    <mergeCell ref="C60:F60"/>
    <mergeCell ref="C61:F61"/>
  </mergeCells>
  <conditionalFormatting sqref="B6:H6">
    <cfRule type="expression" dxfId="11" priority="3">
      <formula>SUM($F$11:$F$52)&gt;0</formula>
    </cfRule>
  </conditionalFormatting>
  <conditionalFormatting sqref="F5:H5">
    <cfRule type="cellIs" dxfId="10" priority="1" operator="greaterThan">
      <formula>0</formula>
    </cfRule>
    <cfRule type="cellIs" dxfId="9" priority="2" operator="lessThan">
      <formula>0</formula>
    </cfRule>
  </conditionalFormatting>
  <conditionalFormatting sqref="F59:H59">
    <cfRule type="cellIs" dxfId="8" priority="12" operator="lessThan">
      <formula>0</formula>
    </cfRule>
  </conditionalFormatting>
  <conditionalFormatting sqref="H11:H16">
    <cfRule type="cellIs" dxfId="7" priority="4" operator="greaterThanOrEqual">
      <formula>1</formula>
    </cfRule>
    <cfRule type="cellIs" dxfId="6" priority="5" operator="between">
      <formula>0.001</formula>
      <formula>0.999</formula>
    </cfRule>
  </conditionalFormatting>
  <conditionalFormatting sqref="H21:H30">
    <cfRule type="cellIs" dxfId="5" priority="6" operator="greaterThan">
      <formula>1</formula>
    </cfRule>
    <cfRule type="cellIs" dxfId="4" priority="7" operator="between">
      <formula>0.001</formula>
      <formula>1</formula>
    </cfRule>
  </conditionalFormatting>
  <conditionalFormatting sqref="H35:H43">
    <cfRule type="cellIs" dxfId="3" priority="8" operator="greaterThan">
      <formula>1</formula>
    </cfRule>
    <cfRule type="cellIs" dxfId="2" priority="9" operator="between">
      <formula>0.001</formula>
      <formula>1</formula>
    </cfRule>
  </conditionalFormatting>
  <conditionalFormatting sqref="H48:H51">
    <cfRule type="cellIs" dxfId="1" priority="10" operator="greaterThanOrEqual">
      <formula>1</formula>
    </cfRule>
    <cfRule type="cellIs" dxfId="0" priority="11" operator="between">
      <formula>0.001</formula>
      <formula>0.999</formula>
    </cfRule>
  </conditionalFormatting>
  <dataValidations count="1">
    <dataValidation type="list" allowBlank="1" sqref="H58:H67">
      <formula1>"Sí,No"</formula1>
    </dataValidation>
  </dataValidations>
  <pageMargins left="0.75" right="0.75" top="1" bottom="1"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 Empezar</vt:lpstr>
      <vt:lpstr>⚙️ Configuración</vt:lpstr>
      <vt:lpstr>💳 Cuentas</vt:lpstr>
      <vt:lpstr>🔁 Pagos Fijos</vt:lpstr>
      <vt:lpstr>📺 Suscripciones</vt:lpstr>
      <vt:lpstr>📆 Calendario</vt:lpstr>
      <vt:lpstr>Octubre</vt:lpstr>
      <vt:lpstr>Noviembre</vt:lpstr>
      <vt:lpstr>Diciembre</vt:lpstr>
      <vt:lpstr>Enero</vt:lpstr>
      <vt:lpstr>Febrero</vt:lpstr>
      <vt:lpstr>Marzo</vt:lpstr>
      <vt:lpstr>Abril</vt:lpstr>
      <vt:lpstr>Mayo</vt:lpstr>
      <vt:lpstr>Junio</vt:lpstr>
      <vt:lpstr>Julio</vt:lpstr>
      <vt:lpstr>Agosto</vt:lpstr>
      <vt:lpstr>Septiembre</vt:lpstr>
      <vt:lpstr>💳 Deudas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 con Shir</dc:creator>
  <cp:lastModifiedBy>Shir Medina</cp:lastModifiedBy>
  <dcterms:created xsi:type="dcterms:W3CDTF">2026-04-28T20:07:45Z</dcterms:created>
  <dcterms:modified xsi:type="dcterms:W3CDTF">2026-09-24T06:42:53Z</dcterms:modified>
</cp:coreProperties>
</file>